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/>
  <mc:AlternateContent xmlns:mc="http://schemas.openxmlformats.org/markup-compatibility/2006">
    <mc:Choice Requires="x15">
      <x15ac:absPath xmlns:x15ac="http://schemas.microsoft.com/office/spreadsheetml/2010/11/ac" url="E:\OneDrive\101. Oct-22 DailyRoutine\"/>
    </mc:Choice>
  </mc:AlternateContent>
  <xr:revisionPtr revIDLastSave="0" documentId="13_ncr:1_{FD54503E-2F1B-42EE-9591-9F103AE187D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CSAS-0123-01 (2)" sheetId="361" r:id="rId1"/>
    <sheet name="TCSAS-0123-01" sheetId="360" r:id="rId2"/>
    <sheet name="Peoples Steel  D" sheetId="359" r:id="rId3"/>
    <sheet name="Peoples Steel " sheetId="358" r:id="rId4"/>
    <sheet name="GFG Old Case" sheetId="357" r:id="rId5"/>
    <sheet name="0822-M001" sheetId="356" r:id="rId6"/>
    <sheet name="0722-26" sheetId="355" r:id="rId7"/>
    <sheet name="0722-25" sheetId="354" r:id="rId8"/>
    <sheet name="Sinv-1219-44 (2)" sheetId="353" r:id="rId9"/>
    <sheet name="Sinv-1219-49" sheetId="352" r:id="rId10"/>
    <sheet name="Sinv-1219-48" sheetId="350" r:id="rId11"/>
    <sheet name="Sinv-1219-47" sheetId="351" r:id="rId12"/>
    <sheet name="Sinv-1219-42 (4)" sheetId="347" r:id="rId13"/>
    <sheet name="Sinv-1219-46" sheetId="349" r:id="rId14"/>
    <sheet name="Sinv-1219-45" sheetId="348" r:id="rId15"/>
    <sheet name="Sinv-1219-44" sheetId="346" r:id="rId16"/>
    <sheet name="Sinv-1219-43" sheetId="345" r:id="rId17"/>
    <sheet name="Sinv-1219-42" sheetId="344" r:id="rId18"/>
    <sheet name="Sinv-1219-41" sheetId="343" r:id="rId19"/>
    <sheet name="Sinv-1219-40" sheetId="342" r:id="rId20"/>
    <sheet name="Sinv-1219-39" sheetId="341" r:id="rId21"/>
    <sheet name="Sinv-1219-38" sheetId="340" r:id="rId22"/>
    <sheet name="Sinv-1219-37" sheetId="339" r:id="rId23"/>
    <sheet name="Sinv-1219-36" sheetId="338" r:id="rId24"/>
    <sheet name="Sinv-1219-35" sheetId="337" r:id="rId25"/>
    <sheet name="Sinv-1219-34" sheetId="336" r:id="rId26"/>
    <sheet name="Sinv-1219-33" sheetId="335" r:id="rId27"/>
    <sheet name="Sinv-1219-32" sheetId="334" r:id="rId28"/>
    <sheet name="Sinv-1219-31" sheetId="333" r:id="rId29"/>
    <sheet name="Sinv-1219-30" sheetId="332" r:id="rId30"/>
    <sheet name="Sinv-1219-29" sheetId="331" r:id="rId31"/>
    <sheet name="Sinv-1219-28" sheetId="330" r:id="rId32"/>
    <sheet name="Sinv-1219-27" sheetId="329" r:id="rId33"/>
    <sheet name="Sinv-1219-25" sheetId="327" r:id="rId34"/>
    <sheet name="Sinv-1219-24" sheetId="326" r:id="rId35"/>
    <sheet name="Sinv-1219-23" sheetId="325" r:id="rId36"/>
    <sheet name="Sinv-1219-22" sheetId="324" r:id="rId37"/>
    <sheet name="Sinv-1219-21" sheetId="323" r:id="rId38"/>
    <sheet name="Sinv-1219-20" sheetId="322" r:id="rId39"/>
    <sheet name="Sinv-1219-19" sheetId="321" r:id="rId40"/>
    <sheet name="Sinv-1219-18" sheetId="320" r:id="rId41"/>
    <sheet name="Sinv-1219-17" sheetId="319" r:id="rId42"/>
    <sheet name="Sinv-1219-16" sheetId="318" r:id="rId43"/>
    <sheet name="Sinv-1219-15" sheetId="317" r:id="rId44"/>
    <sheet name="Sinv-1219-14" sheetId="316" r:id="rId45"/>
    <sheet name="Sinv-1219-13" sheetId="315" r:id="rId46"/>
    <sheet name="Sinv-1219-12" sheetId="314" r:id="rId47"/>
    <sheet name="Sinv-1219-11" sheetId="313" r:id="rId48"/>
    <sheet name="Sinv-1219-10" sheetId="306" r:id="rId49"/>
    <sheet name="Sinv-1219-09" sheetId="305" r:id="rId50"/>
    <sheet name="Sinv-1219-08" sheetId="312" r:id="rId51"/>
    <sheet name="Sinv-1219-07" sheetId="311" r:id="rId52"/>
    <sheet name="Sinv-1219-06" sheetId="310" r:id="rId53"/>
    <sheet name="Sinv-1219-05" sheetId="309" r:id="rId54"/>
    <sheet name="Sinv-1219-04" sheetId="308" r:id="rId55"/>
    <sheet name="Sinv-1219-03" sheetId="307" r:id="rId56"/>
    <sheet name="GST-1219-02" sheetId="304" r:id="rId57"/>
    <sheet name="Sinv-1219-02" sheetId="302" r:id="rId58"/>
    <sheet name="GST-1219-01" sheetId="303" r:id="rId59"/>
    <sheet name="Sinv-1219-01" sheetId="301" r:id="rId60"/>
    <sheet name="Sinv-1119-26" sheetId="300" r:id="rId61"/>
    <sheet name="Sinv-1119-25" sheetId="299" r:id="rId62"/>
    <sheet name="Sinv-1119-24" sheetId="298" r:id="rId63"/>
    <sheet name="Sinv-1119-23" sheetId="297" r:id="rId64"/>
    <sheet name="Sinv-1119-22" sheetId="296" r:id="rId65"/>
    <sheet name="Sinv-1119-21" sheetId="295" r:id="rId66"/>
    <sheet name="Sinv-1119-20" sheetId="294" r:id="rId67"/>
    <sheet name="Sinv-1119-19" sheetId="293" r:id="rId68"/>
    <sheet name="Sinv-1119-18" sheetId="292" r:id="rId69"/>
    <sheet name="Sinv-1119-17" sheetId="291" r:id="rId70"/>
    <sheet name="Sinv-1119-16" sheetId="290" r:id="rId71"/>
    <sheet name="Sinv-1119-15" sheetId="289" r:id="rId72"/>
    <sheet name="Sinv-1119-14" sheetId="288" r:id="rId73"/>
    <sheet name="Sinv-1119-13" sheetId="287" r:id="rId74"/>
    <sheet name="Sinv-1119-12" sheetId="286" r:id="rId75"/>
    <sheet name="Sinv-1119-11" sheetId="285" r:id="rId76"/>
    <sheet name="Sinv-1119-10" sheetId="284" r:id="rId77"/>
    <sheet name="Sinv-1119-09" sheetId="283" r:id="rId78"/>
    <sheet name="Sinv-1119-08" sheetId="282" r:id="rId79"/>
    <sheet name="Sinv-1119-07" sheetId="281" r:id="rId80"/>
    <sheet name="Sinv-1119-06" sheetId="280" r:id="rId81"/>
    <sheet name="Sinv-1119-05" sheetId="279" r:id="rId82"/>
    <sheet name="Sinv-1119-04" sheetId="278" r:id="rId83"/>
    <sheet name="Sinv-1119-03" sheetId="277" r:id="rId84"/>
    <sheet name="Sinv-1119-02" sheetId="276" r:id="rId85"/>
    <sheet name="CN-1119-01" sheetId="275" r:id="rId86"/>
    <sheet name="Sinv-1119-01" sheetId="274" r:id="rId87"/>
    <sheet name="Sinv-1019-32" sheetId="273" r:id="rId88"/>
    <sheet name="Sinv-1019-31" sheetId="272" r:id="rId89"/>
    <sheet name="Sinv-1019-30" sheetId="270" r:id="rId90"/>
    <sheet name="Sinv-1019-29" sheetId="269" r:id="rId91"/>
    <sheet name="Sinv-1019-28" sheetId="268" r:id="rId92"/>
    <sheet name="Sinv-1019-27" sheetId="267" r:id="rId93"/>
    <sheet name="Sinv-1019-26" sheetId="266" r:id="rId94"/>
    <sheet name="Sinv-1019-25" sheetId="265" r:id="rId95"/>
    <sheet name="Sinv-1019-24" sheetId="264" r:id="rId96"/>
    <sheet name="Sinv-1019-23" sheetId="263" r:id="rId97"/>
    <sheet name="Sinv-1019-22" sheetId="262" r:id="rId98"/>
    <sheet name="Sinv-1019-21" sheetId="261" r:id="rId99"/>
    <sheet name="Sinv-1019-20" sheetId="260" r:id="rId100"/>
    <sheet name="Sinv-1019-19" sheetId="259" r:id="rId101"/>
    <sheet name="Sinv-1019-18" sheetId="258" r:id="rId102"/>
    <sheet name="Sinv-1019-17" sheetId="257" r:id="rId103"/>
    <sheet name="Sinv-1019-16" sheetId="256" r:id="rId104"/>
    <sheet name="Sinv-1019-15" sheetId="255" r:id="rId105"/>
    <sheet name="Sinv-1019-14" sheetId="254" r:id="rId106"/>
    <sheet name="Sinv-1019-13" sheetId="253" r:id="rId107"/>
    <sheet name="Sinv-1019-12" sheetId="251" r:id="rId108"/>
    <sheet name="CN-1019-001" sheetId="250" r:id="rId109"/>
    <sheet name="Sinv-1019-11" sheetId="248" r:id="rId110"/>
    <sheet name="Sinv-1019-10" sheetId="247" r:id="rId111"/>
    <sheet name="Sinv-1019-09" sheetId="246" r:id="rId112"/>
    <sheet name="Sinv-1019-08" sheetId="245" r:id="rId113"/>
    <sheet name="Sinv-1019-07" sheetId="244" r:id="rId114"/>
    <sheet name="Sinv-1019-06" sheetId="243" r:id="rId115"/>
    <sheet name="Sinv-1019-05" sheetId="242" r:id="rId116"/>
    <sheet name="Sinv-1019-04" sheetId="241" r:id="rId117"/>
    <sheet name="Sinv-1019-03" sheetId="240" r:id="rId118"/>
    <sheet name="Sinv-1019-02" sheetId="239" r:id="rId119"/>
    <sheet name="Sinv-1019-01" sheetId="238" r:id="rId120"/>
    <sheet name="Sinv-0919-38" sheetId="252" r:id="rId121"/>
    <sheet name="Sinv-0919-37" sheetId="237" r:id="rId122"/>
    <sheet name="Sinv-0919-36" sheetId="236" r:id="rId123"/>
    <sheet name="Sinv-0919-35" sheetId="235" r:id="rId124"/>
    <sheet name="Sinv-0919-34" sheetId="234" r:id="rId125"/>
    <sheet name="Sinv-0919-33" sheetId="233" r:id="rId126"/>
    <sheet name="Sinv-0919-32" sheetId="232" r:id="rId127"/>
    <sheet name="Sinv-0919-31" sheetId="231" r:id="rId128"/>
    <sheet name="Sinv-0919-30" sheetId="230" r:id="rId129"/>
    <sheet name="Sinv-0919-29" sheetId="229" r:id="rId130"/>
    <sheet name="Sinv-0919-28" sheetId="228" r:id="rId131"/>
    <sheet name="Sinv-0919-27" sheetId="227" r:id="rId132"/>
    <sheet name="Sinv-0919-26" sheetId="226" r:id="rId133"/>
    <sheet name="Sinv-0919-25" sheetId="225" r:id="rId134"/>
    <sheet name="Sinv-0919-24" sheetId="224" r:id="rId135"/>
    <sheet name="Sinv-0919-23" sheetId="223" r:id="rId136"/>
    <sheet name="Sinv-0919-22" sheetId="222" r:id="rId137"/>
    <sheet name="Sinv-0919-21" sheetId="221" r:id="rId138"/>
    <sheet name="Sinv-0919-20" sheetId="220" r:id="rId139"/>
    <sheet name="Sinv-0919-19" sheetId="219" r:id="rId140"/>
    <sheet name="Sinv-0919-18" sheetId="218" r:id="rId141"/>
    <sheet name="Sinv-0919-17" sheetId="217" r:id="rId142"/>
    <sheet name="Sinv-0919-16" sheetId="216" r:id="rId143"/>
    <sheet name="Sinv-0919-15" sheetId="215" r:id="rId144"/>
    <sheet name="Sinv-0919-14" sheetId="214" r:id="rId145"/>
    <sheet name="Sinv-0919-13" sheetId="213" r:id="rId146"/>
    <sheet name="Sinv-0919-12" sheetId="212" r:id="rId147"/>
    <sheet name="Sinv-0919-11" sheetId="211" r:id="rId148"/>
    <sheet name="Sinv-0919-10" sheetId="210" r:id="rId149"/>
    <sheet name="Sinv-0919-09" sheetId="209" r:id="rId150"/>
    <sheet name="Sinv-0919-08" sheetId="208" r:id="rId151"/>
    <sheet name="Sinv-0919-07" sheetId="207" r:id="rId152"/>
    <sheet name="Sinv-0919-06" sheetId="206" r:id="rId153"/>
    <sheet name="Sinv-0919-05" sheetId="205" r:id="rId154"/>
    <sheet name="Sinv-0919-04" sheetId="204" r:id="rId155"/>
    <sheet name="Sinv-0919-03" sheetId="203" r:id="rId156"/>
    <sheet name="Sinv-0919-02" sheetId="202" r:id="rId157"/>
    <sheet name="Sinv-0919-01" sheetId="201" r:id="rId158"/>
    <sheet name="Sinv-0819-21" sheetId="200" r:id="rId159"/>
    <sheet name="Sinv-0819-20" sheetId="199" r:id="rId160"/>
    <sheet name="Sinv-0819-19" sheetId="198" r:id="rId161"/>
    <sheet name="Sinv-0819-18" sheetId="197" r:id="rId162"/>
    <sheet name="Sinv-0819-17" sheetId="196" r:id="rId163"/>
    <sheet name="Sinv-0819-16" sheetId="195" r:id="rId164"/>
    <sheet name="Sinv-0819-15" sheetId="194" r:id="rId165"/>
    <sheet name="Sinv-0819-14" sheetId="193" r:id="rId166"/>
    <sheet name="Sinv-0819-13" sheetId="192" r:id="rId167"/>
    <sheet name="Sinv-0819-12" sheetId="191" r:id="rId168"/>
    <sheet name="Sinv-0819-11" sheetId="190" r:id="rId169"/>
    <sheet name="Sinv-0819-10" sheetId="189" r:id="rId170"/>
    <sheet name="Sinv-0819-09" sheetId="188" r:id="rId171"/>
    <sheet name="Sinv-0819-08" sheetId="187" r:id="rId172"/>
    <sheet name="Sinv-0819-07" sheetId="186" r:id="rId173"/>
    <sheet name="Sinv-0819-06" sheetId="185" r:id="rId174"/>
    <sheet name="Sinv-0819-05" sheetId="184" r:id="rId175"/>
    <sheet name="Sinv-0819-04" sheetId="183" r:id="rId176"/>
    <sheet name="Sinv-0819-03" sheetId="181" r:id="rId177"/>
    <sheet name="Sinv-0819-02" sheetId="180" r:id="rId178"/>
    <sheet name="Sinv-0819-01" sheetId="179" r:id="rId179"/>
    <sheet name="Sinv-0719-16" sheetId="178" r:id="rId180"/>
    <sheet name="Sinv-0719-15" sheetId="177" r:id="rId181"/>
    <sheet name="Sinv-0719-14" sheetId="176" r:id="rId182"/>
    <sheet name="Sinv-0719-13" sheetId="175" r:id="rId183"/>
    <sheet name="Sinv-0719-12" sheetId="174" r:id="rId184"/>
    <sheet name="Sinv-0719-11" sheetId="173" r:id="rId185"/>
    <sheet name="Sinv-0719-10" sheetId="172" r:id="rId186"/>
    <sheet name="Sinv-0719-09" sheetId="171" r:id="rId187"/>
    <sheet name="Sinv-0719-08" sheetId="170" r:id="rId188"/>
    <sheet name="Sinv-0719-07" sheetId="169" r:id="rId189"/>
    <sheet name="Sinv-0719-06" sheetId="168" r:id="rId190"/>
    <sheet name="Sinv-0719-05" sheetId="167" r:id="rId191"/>
    <sheet name="Sinv-0719-04" sheetId="166" r:id="rId192"/>
    <sheet name="Sinv-0719-03" sheetId="165" r:id="rId193"/>
    <sheet name="Sinv-0719-02" sheetId="164" r:id="rId194"/>
    <sheet name="Sinv-0719-01" sheetId="163" r:id="rId195"/>
    <sheet name="Sinv-0619-09" sheetId="162" r:id="rId196"/>
    <sheet name="Sinv-0619-08" sheetId="161" r:id="rId197"/>
    <sheet name="Sinv-0619-07" sheetId="160" r:id="rId198"/>
    <sheet name="Sinv-0619-06" sheetId="159" r:id="rId199"/>
    <sheet name="Sinv-0619-05" sheetId="158" r:id="rId200"/>
    <sheet name="Sinv-0619-04" sheetId="157" r:id="rId201"/>
    <sheet name="Sinv-0619-03" sheetId="156" r:id="rId202"/>
    <sheet name="Sinv-0619-02" sheetId="155" r:id="rId203"/>
    <sheet name="Sinv-0619-01" sheetId="154" r:id="rId204"/>
    <sheet name="Sinv-0519-11" sheetId="153" r:id="rId205"/>
    <sheet name="Sinv-0519-10" sheetId="152" r:id="rId206"/>
    <sheet name="Sinv-0519-09" sheetId="151" r:id="rId207"/>
    <sheet name="Sinv-0519-08" sheetId="150" r:id="rId208"/>
    <sheet name="Sinv-0519-07" sheetId="149" r:id="rId209"/>
    <sheet name="Sinv-0519-06" sheetId="148" r:id="rId210"/>
    <sheet name="Sinv-0519-05" sheetId="147" r:id="rId211"/>
    <sheet name="Sinv-0519-04" sheetId="146" r:id="rId212"/>
    <sheet name="Sinv-0519-03" sheetId="144" r:id="rId213"/>
    <sheet name="Sinv-0519-02" sheetId="143" r:id="rId214"/>
    <sheet name="Sinv-0519-01" sheetId="145" r:id="rId215"/>
    <sheet name="Sinv-0519-01C" sheetId="142" r:id="rId216"/>
    <sheet name="Sinv-0419-14" sheetId="141" r:id="rId217"/>
    <sheet name="Sinv-0419-13" sheetId="140" r:id="rId218"/>
    <sheet name="Sinv-0419-12" sheetId="139" r:id="rId219"/>
    <sheet name="Sinv-0419-11" sheetId="138" r:id="rId220"/>
    <sheet name="Sinv-0419-10" sheetId="137" r:id="rId221"/>
    <sheet name="Sinv-0419-09" sheetId="136" r:id="rId222"/>
    <sheet name="Sinv-0419-08" sheetId="135" r:id="rId223"/>
    <sheet name="Sinv-0419-07" sheetId="134" r:id="rId224"/>
    <sheet name="Sinv-0419-06" sheetId="133" r:id="rId225"/>
    <sheet name="Sinv-0419-05" sheetId="132" r:id="rId226"/>
    <sheet name="Sinv-0419-04" sheetId="131" r:id="rId227"/>
    <sheet name="Sinv-0419-03" sheetId="130" r:id="rId228"/>
    <sheet name="Sinv-0419-02" sheetId="129" r:id="rId229"/>
    <sheet name="Sinv-0419-01" sheetId="128" r:id="rId230"/>
    <sheet name="Sinv-0319-07" sheetId="127" r:id="rId231"/>
    <sheet name="Sinv-0319-06" sheetId="126" r:id="rId232"/>
    <sheet name="Sinv-0319-05" sheetId="125" r:id="rId233"/>
    <sheet name="Sinv-0319-04" sheetId="124" r:id="rId234"/>
    <sheet name="Sinv-0319-03" sheetId="123" r:id="rId235"/>
    <sheet name="Sinv-0319-02" sheetId="122" r:id="rId236"/>
    <sheet name="Sinv-0319-01" sheetId="121" r:id="rId237"/>
    <sheet name="Sinv-0219-08" sheetId="120" r:id="rId238"/>
    <sheet name="Sinv-0219-07" sheetId="119" r:id="rId239"/>
    <sheet name="Sinv-0219-06" sheetId="118" r:id="rId240"/>
    <sheet name="Sinv-0219-05" sheetId="117" r:id="rId241"/>
    <sheet name="Sinv-0219-04" sheetId="116" r:id="rId242"/>
    <sheet name="Sinv-0219-03" sheetId="115" r:id="rId243"/>
    <sheet name="Sinv-0219-02" sheetId="114" r:id="rId244"/>
    <sheet name="Sinv-0219-01" sheetId="113" r:id="rId245"/>
    <sheet name="Sinv-0119-04" sheetId="112" r:id="rId246"/>
    <sheet name="Sinv-0119-03" sheetId="111" r:id="rId247"/>
    <sheet name="Sinv-0119-02" sheetId="110" r:id="rId248"/>
    <sheet name="Sinv-0119-01" sheetId="109" r:id="rId249"/>
    <sheet name="Sinv-1218-03" sheetId="108" r:id="rId250"/>
    <sheet name="Sinv-1218-02" sheetId="107" r:id="rId251"/>
    <sheet name="Sinv-1218-01" sheetId="106" r:id="rId252"/>
    <sheet name="Sinv-1118-06" sheetId="105" r:id="rId253"/>
    <sheet name="Sinv-1118-05" sheetId="104" r:id="rId254"/>
    <sheet name="Sinv-1118-04" sheetId="103" r:id="rId255"/>
    <sheet name="Sinv-1118-03" sheetId="102" r:id="rId256"/>
    <sheet name="Sinv-1118-02" sheetId="101" r:id="rId257"/>
    <sheet name="Sinv-1118-01" sheetId="100" r:id="rId258"/>
    <sheet name="Sinv-1018-09" sheetId="99" r:id="rId259"/>
    <sheet name="Sinv-1018-08" sheetId="98" r:id="rId260"/>
    <sheet name="Sinv-1018-07" sheetId="97" r:id="rId261"/>
    <sheet name="Sinv-1018-06" sheetId="96" r:id="rId262"/>
    <sheet name="Sinv-1018-05" sheetId="95" r:id="rId263"/>
    <sheet name="Sinv-1018-04" sheetId="94" r:id="rId264"/>
    <sheet name="Sinv-1018-03" sheetId="93" r:id="rId265"/>
    <sheet name="Sinv-1018-02" sheetId="92" r:id="rId266"/>
    <sheet name="Sinv-1018-01" sheetId="91" r:id="rId267"/>
    <sheet name="Sinv-0918-003" sheetId="90" r:id="rId268"/>
    <sheet name="Sinv-0918-002" sheetId="89" r:id="rId269"/>
    <sheet name="Sinv-0918-001" sheetId="88" r:id="rId270"/>
    <sheet name="Sinv-0818-003" sheetId="87" r:id="rId271"/>
    <sheet name="Sinv-0818-001" sheetId="85" r:id="rId272"/>
    <sheet name="Sinv-0718-002" sheetId="84" r:id="rId273"/>
    <sheet name="Sinv-0718-001" sheetId="83" r:id="rId274"/>
    <sheet name="Sinv-0618-004" sheetId="82" r:id="rId275"/>
    <sheet name="Sinv-0618-003" sheetId="81" r:id="rId276"/>
    <sheet name="Sinv-0618-002" sheetId="80" r:id="rId277"/>
    <sheet name="Sinv-0618-001" sheetId="79" r:id="rId278"/>
    <sheet name="Sinv-0418-003" sheetId="78" r:id="rId279"/>
    <sheet name="Sinv-0418-002" sheetId="77" r:id="rId280"/>
    <sheet name="Sinv-0418-001" sheetId="76" r:id="rId281"/>
    <sheet name="Sinv-0318-003" sheetId="75" r:id="rId282"/>
    <sheet name="Sinv-0318-002" sheetId="74" r:id="rId283"/>
    <sheet name="Sinv-0318-001" sheetId="73" r:id="rId284"/>
    <sheet name="Sinv-0218-002a" sheetId="72" r:id="rId285"/>
    <sheet name="Sinv-0218-004" sheetId="71" r:id="rId286"/>
    <sheet name="Sinv-0218-003" sheetId="70" r:id="rId287"/>
    <sheet name="Sinv-0218-002" sheetId="69" r:id="rId288"/>
    <sheet name="Sinv-0218-001" sheetId="68" r:id="rId289"/>
    <sheet name="Sinv-0118-005" sheetId="67" r:id="rId290"/>
    <sheet name="Sinv-0118-004" sheetId="66" r:id="rId291"/>
    <sheet name="Sinv-0118-003" sheetId="65" r:id="rId292"/>
    <sheet name="Sinv-0118-002" sheetId="64" r:id="rId293"/>
    <sheet name="Sinv-0118-001" sheetId="63" r:id="rId294"/>
    <sheet name="Sinv-1217-003" sheetId="62" r:id="rId295"/>
    <sheet name="Sinv-1217-002" sheetId="61" r:id="rId296"/>
    <sheet name="Sinv-1217-001" sheetId="60" r:id="rId297"/>
    <sheet name="Sinv-1117-004" sheetId="59" r:id="rId298"/>
    <sheet name="Sinv-1117-003" sheetId="58" r:id="rId299"/>
    <sheet name="Sinv-1117-002" sheetId="57" r:id="rId300"/>
    <sheet name="Sinv-1117-001" sheetId="56" r:id="rId301"/>
    <sheet name="Sinv-1017-006" sheetId="55" r:id="rId302"/>
    <sheet name="Sinv-1017-005" sheetId="54" r:id="rId303"/>
    <sheet name="Sinv-1017-004" sheetId="53" r:id="rId304"/>
    <sheet name="Sinv-1017-003" sheetId="52" r:id="rId305"/>
    <sheet name="Sinv-1017-002" sheetId="51" r:id="rId306"/>
    <sheet name="Sinv-1017-001" sheetId="50" r:id="rId307"/>
    <sheet name="Sinv-0917-002" sheetId="49" r:id="rId308"/>
    <sheet name="Sinv-0917-001" sheetId="48" r:id="rId309"/>
    <sheet name="Sinv-0817-004" sheetId="47" r:id="rId310"/>
    <sheet name="Sinv-0817-003" sheetId="46" r:id="rId311"/>
    <sheet name="Sinv-0817-002" sheetId="45" r:id="rId312"/>
    <sheet name="Sinv-0817-001" sheetId="44" r:id="rId313"/>
    <sheet name="Sinv-0717-007" sheetId="43" r:id="rId314"/>
    <sheet name="Sinv-0717-006" sheetId="42" r:id="rId315"/>
    <sheet name="Sinv-0717-005" sheetId="41" r:id="rId316"/>
    <sheet name="Sinv-0717-004" sheetId="40" r:id="rId317"/>
    <sheet name="Sinv-0717-003" sheetId="39" r:id="rId318"/>
    <sheet name="Sinv-0717-002" sheetId="38" r:id="rId319"/>
    <sheet name="Sinv-0717-001" sheetId="37" r:id="rId320"/>
    <sheet name="Sinv-0617-004" sheetId="36" r:id="rId321"/>
    <sheet name="Sinv-0617-003" sheetId="35" r:id="rId322"/>
    <sheet name="Sinv-0617-002" sheetId="34" r:id="rId323"/>
    <sheet name="Sinv-0617-001" sheetId="33" r:id="rId324"/>
    <sheet name="Sinv-0517-007" sheetId="32" r:id="rId325"/>
    <sheet name="Sinv-0517-006" sheetId="31" r:id="rId326"/>
    <sheet name="Sinv-0517-005" sheetId="30" r:id="rId327"/>
    <sheet name="Sinv-0517-004" sheetId="29" r:id="rId328"/>
    <sheet name="Sinv-0517-003" sheetId="28" r:id="rId329"/>
    <sheet name="Sinv-0517-002" sheetId="27" r:id="rId330"/>
    <sheet name="Sinv-0517-001" sheetId="26" r:id="rId331"/>
    <sheet name="Sinv-0417-002" sheetId="25" r:id="rId332"/>
    <sheet name="Sinv-0417-001" sheetId="24" r:id="rId333"/>
    <sheet name="Sinv-0317-009" sheetId="23" r:id="rId334"/>
    <sheet name="Sinv-0317-008" sheetId="22" r:id="rId335"/>
    <sheet name="Sinv-0317-007" sheetId="21" r:id="rId336"/>
    <sheet name="Sinv-0317-006" sheetId="20" r:id="rId337"/>
    <sheet name="Sinv-0317-005" sheetId="19" r:id="rId338"/>
    <sheet name="Sinv-0317-004" sheetId="18" r:id="rId339"/>
    <sheet name="Sinv-0317-003" sheetId="17" r:id="rId340"/>
    <sheet name="Sinv-0317-002" sheetId="16" r:id="rId341"/>
    <sheet name="Sinv-0317-001" sheetId="15" r:id="rId342"/>
    <sheet name="Sinv-0217-002" sheetId="14" r:id="rId343"/>
    <sheet name="Sinv-0217-001" sheetId="13" r:id="rId344"/>
    <sheet name="Sinv-0117-012" sheetId="12" r:id="rId345"/>
    <sheet name="Sinv-0117-011" sheetId="11" r:id="rId346"/>
    <sheet name="Sinv-0117-010" sheetId="10" r:id="rId347"/>
    <sheet name="Sinv-0117-009" sheetId="9" r:id="rId348"/>
    <sheet name="Sinv-0117-008" sheetId="8" r:id="rId349"/>
    <sheet name="Sinv-0117-007" sheetId="7" r:id="rId350"/>
    <sheet name="Sinv-0117-006" sheetId="6" r:id="rId351"/>
    <sheet name="Sinv-0117-005" sheetId="5" r:id="rId352"/>
    <sheet name="Sinv-0117-004" sheetId="4" r:id="rId353"/>
    <sheet name="Sinv-0117-003" sheetId="3" r:id="rId354"/>
    <sheet name="Sinv-0117-002" sheetId="2" r:id="rId355"/>
    <sheet name="Sinv-0117-001" sheetId="1" r:id="rId356"/>
  </sheets>
  <definedNames>
    <definedName name="_xlnm._FilterDatabase" localSheetId="7" hidden="1">'0722-25'!$A$15:$J$22</definedName>
    <definedName name="_xlnm._FilterDatabase" localSheetId="6" hidden="1">'0722-26'!$A$15:$J$22</definedName>
    <definedName name="_xlnm._FilterDatabase" localSheetId="5" hidden="1">'0822-M001'!$A$15:$J$22</definedName>
    <definedName name="_xlnm._FilterDatabase" localSheetId="108" hidden="1">'CN-1019-001'!$A$15:$J$24</definedName>
    <definedName name="_xlnm._FilterDatabase" localSheetId="85" hidden="1">'CN-1119-01'!$A$15:$J$24</definedName>
    <definedName name="_xlnm._FilterDatabase" localSheetId="4" hidden="1">'GFG Old Case'!$A$15:$J$22</definedName>
    <definedName name="_xlnm._FilterDatabase" localSheetId="58" hidden="1">'GST-1219-01'!$A$15:$J$23</definedName>
    <definedName name="_xlnm._FilterDatabase" localSheetId="56" hidden="1">'GST-1219-02'!$A$15:$J$23</definedName>
    <definedName name="_xlnm._FilterDatabase" localSheetId="3" hidden="1">'Peoples Steel '!$A$15:$J$22</definedName>
    <definedName name="_xlnm._FilterDatabase" localSheetId="2" hidden="1">'Peoples Steel  D'!$A$15:$J$29</definedName>
    <definedName name="_xlnm._FilterDatabase" localSheetId="248" hidden="1">'Sinv-0119-01'!$A$15:$J$21</definedName>
    <definedName name="_xlnm._FilterDatabase" localSheetId="247" hidden="1">'Sinv-0119-02'!$A$15:$J$21</definedName>
    <definedName name="_xlnm._FilterDatabase" localSheetId="245" hidden="1">'Sinv-0119-04'!$A$15:$J$30</definedName>
    <definedName name="_xlnm._FilterDatabase" localSheetId="244" hidden="1">'Sinv-0219-01'!$A$15:$J$27</definedName>
    <definedName name="_xlnm._FilterDatabase" localSheetId="243" hidden="1">'Sinv-0219-02'!$A$15:$J$47</definedName>
    <definedName name="_xlnm._FilterDatabase" localSheetId="242" hidden="1">'Sinv-0219-03'!$A$15:$J$21</definedName>
    <definedName name="_xlnm._FilterDatabase" localSheetId="241" hidden="1">'Sinv-0219-04'!$A$15:$J$21</definedName>
    <definedName name="_xlnm._FilterDatabase" localSheetId="240" hidden="1">'Sinv-0219-05'!$A$15:$J$38</definedName>
    <definedName name="_xlnm._FilterDatabase" localSheetId="239" hidden="1">'Sinv-0219-06'!$A$15:$J$35</definedName>
    <definedName name="_xlnm._FilterDatabase" localSheetId="238" hidden="1">'Sinv-0219-07'!$A$15:$J$22</definedName>
    <definedName name="_xlnm._FilterDatabase" localSheetId="237" hidden="1">'Sinv-0219-08'!$A$15:$J$28</definedName>
    <definedName name="_xlnm._FilterDatabase" localSheetId="236" hidden="1">'Sinv-0319-01'!$A$15:$J$21</definedName>
    <definedName name="_xlnm._FilterDatabase" localSheetId="235" hidden="1">'Sinv-0319-02'!$A$15:$J$21</definedName>
    <definedName name="_xlnm._FilterDatabase" localSheetId="234" hidden="1">'Sinv-0319-03'!$A$15:$J$21</definedName>
    <definedName name="_xlnm._FilterDatabase" localSheetId="233" hidden="1">'Sinv-0319-04'!$A$15:$J$21</definedName>
    <definedName name="_xlnm._FilterDatabase" localSheetId="232" hidden="1">'Sinv-0319-05'!$A$15:$J$22</definedName>
    <definedName name="_xlnm._FilterDatabase" localSheetId="231" hidden="1">'Sinv-0319-06'!$A$15:$J$34</definedName>
    <definedName name="_xlnm._FilterDatabase" localSheetId="230" hidden="1">'Sinv-0319-07'!$A$15:$J$22</definedName>
    <definedName name="_xlnm._FilterDatabase" localSheetId="229" hidden="1">'Sinv-0419-01'!$A$15:$J$23</definedName>
    <definedName name="_xlnm._FilterDatabase" localSheetId="228" hidden="1">'Sinv-0419-02'!$A$15:$J$24</definedName>
    <definedName name="_xlnm._FilterDatabase" localSheetId="227" hidden="1">'Sinv-0419-03'!$A$15:$J$31</definedName>
    <definedName name="_xlnm._FilterDatabase" localSheetId="226" hidden="1">'Sinv-0419-04'!$A$15:$J$24</definedName>
    <definedName name="_xlnm._FilterDatabase" localSheetId="225" hidden="1">'Sinv-0419-05'!$A$15:$J$22</definedName>
    <definedName name="_xlnm._FilterDatabase" localSheetId="224" hidden="1">'Sinv-0419-06'!$A$15:$J$23</definedName>
    <definedName name="_xlnm._FilterDatabase" localSheetId="223" hidden="1">'Sinv-0419-07'!$A$15:$J$22</definedName>
    <definedName name="_xlnm._FilterDatabase" localSheetId="222" hidden="1">'Sinv-0419-08'!$A$15:$J$23</definedName>
    <definedName name="_xlnm._FilterDatabase" localSheetId="221" hidden="1">'Sinv-0419-09'!$A$15:$J$22</definedName>
    <definedName name="_xlnm._FilterDatabase" localSheetId="220" hidden="1">'Sinv-0419-10'!$A$15:$J$22</definedName>
    <definedName name="_xlnm._FilterDatabase" localSheetId="219" hidden="1">'Sinv-0419-11'!$A$15:$J$23</definedName>
    <definedName name="_xlnm._FilterDatabase" localSheetId="218" hidden="1">'Sinv-0419-12'!$A$15:$J$26</definedName>
    <definedName name="_xlnm._FilterDatabase" localSheetId="216" hidden="1">'Sinv-0419-14'!$A$15:$J$24</definedName>
    <definedName name="_xlnm._FilterDatabase" localSheetId="214" hidden="1">'Sinv-0519-01'!$A$15:$J$21</definedName>
    <definedName name="_xlnm._FilterDatabase" localSheetId="215" hidden="1">'Sinv-0519-01C'!$A$15:$J$22</definedName>
    <definedName name="_xlnm._FilterDatabase" localSheetId="213" hidden="1">'Sinv-0519-02'!$A$15:$J$25</definedName>
    <definedName name="_xlnm._FilterDatabase" localSheetId="212" hidden="1">'Sinv-0519-03'!$A$15:$J$23</definedName>
    <definedName name="_xlnm._FilterDatabase" localSheetId="211" hidden="1">'Sinv-0519-04'!$A$15:$J$21</definedName>
    <definedName name="_xlnm._FilterDatabase" localSheetId="210" hidden="1">'Sinv-0519-05'!$A$15:$J$23</definedName>
    <definedName name="_xlnm._FilterDatabase" localSheetId="209" hidden="1">'Sinv-0519-06'!$A$15:$J$24</definedName>
    <definedName name="_xlnm._FilterDatabase" localSheetId="208" hidden="1">'Sinv-0519-07'!$A$15:$J$27</definedName>
    <definedName name="_xlnm._FilterDatabase" localSheetId="207" hidden="1">'Sinv-0519-08'!$A$15:$J$27</definedName>
    <definedName name="_xlnm._FilterDatabase" localSheetId="206" hidden="1">'Sinv-0519-09'!$A$15:$J$22</definedName>
    <definedName name="_xlnm._FilterDatabase" localSheetId="205" hidden="1">'Sinv-0519-10'!$A$15:$J$23</definedName>
    <definedName name="_xlnm._FilterDatabase" localSheetId="204" hidden="1">'Sinv-0519-11'!$A$15:$J$21</definedName>
    <definedName name="_xlnm._FilterDatabase" localSheetId="203" hidden="1">'Sinv-0619-01'!$A$15:$J$22</definedName>
    <definedName name="_xlnm._FilterDatabase" localSheetId="202" hidden="1">'Sinv-0619-02'!$A$15:$J$23</definedName>
    <definedName name="_xlnm._FilterDatabase" localSheetId="201" hidden="1">'Sinv-0619-03'!$A$15:$J$23</definedName>
    <definedName name="_xlnm._FilterDatabase" localSheetId="200" hidden="1">'Sinv-0619-04'!$A$15:$J$21</definedName>
    <definedName name="_xlnm._FilterDatabase" localSheetId="199" hidden="1">'Sinv-0619-05'!$A$15:$J$22</definedName>
    <definedName name="_xlnm._FilterDatabase" localSheetId="198" hidden="1">'Sinv-0619-06'!$A$15:$J$25</definedName>
    <definedName name="_xlnm._FilterDatabase" localSheetId="197" hidden="1">'Sinv-0619-07'!$A$15:$J$31</definedName>
    <definedName name="_xlnm._FilterDatabase" localSheetId="196" hidden="1">'Sinv-0619-08'!$A$15:$J$24</definedName>
    <definedName name="_xlnm._FilterDatabase" localSheetId="195" hidden="1">'Sinv-0619-09'!$A$15:$J$22</definedName>
    <definedName name="_xlnm._FilterDatabase" localSheetId="273" hidden="1">'Sinv-0718-001'!$A$15:$J$42</definedName>
    <definedName name="_xlnm._FilterDatabase" localSheetId="272" hidden="1">'Sinv-0718-002'!$A$15:$J$21</definedName>
    <definedName name="_xlnm._FilterDatabase" localSheetId="194" hidden="1">'Sinv-0719-01'!$A$15:$J$21</definedName>
    <definedName name="_xlnm._FilterDatabase" localSheetId="193" hidden="1">'Sinv-0719-02'!$A$15:$J$21</definedName>
    <definedName name="_xlnm._FilterDatabase" localSheetId="192" hidden="1">'Sinv-0719-03'!$A$15:$J$22</definedName>
    <definedName name="_xlnm._FilterDatabase" localSheetId="191" hidden="1">'Sinv-0719-04'!$A$15:$J$22</definedName>
    <definedName name="_xlnm._FilterDatabase" localSheetId="190" hidden="1">'Sinv-0719-05'!$A$15:$J$25</definedName>
    <definedName name="_xlnm._FilterDatabase" localSheetId="189" hidden="1">'Sinv-0719-06'!$A$15:$J$25</definedName>
    <definedName name="_xlnm._FilterDatabase" localSheetId="188" hidden="1">'Sinv-0719-07'!$A$15:$J$21</definedName>
    <definedName name="_xlnm._FilterDatabase" localSheetId="187" hidden="1">'Sinv-0719-08'!$A$15:$J$21</definedName>
    <definedName name="_xlnm._FilterDatabase" localSheetId="186" hidden="1">'Sinv-0719-09'!$A$15:$J$25</definedName>
    <definedName name="_xlnm._FilterDatabase" localSheetId="185" hidden="1">'Sinv-0719-10'!$A$15:$J$35</definedName>
    <definedName name="_xlnm._FilterDatabase" localSheetId="184" hidden="1">'Sinv-0719-11'!$A$15:$J$24</definedName>
    <definedName name="_xlnm._FilterDatabase" localSheetId="183" hidden="1">'Sinv-0719-12'!$A$15:$J$22</definedName>
    <definedName name="_xlnm._FilterDatabase" localSheetId="182" hidden="1">'Sinv-0719-13'!$A$15:$J$22</definedName>
    <definedName name="_xlnm._FilterDatabase" localSheetId="181" hidden="1">'Sinv-0719-14'!$A$15:$J$22</definedName>
    <definedName name="_xlnm._FilterDatabase" localSheetId="180" hidden="1">'Sinv-0719-15'!$A$15:$J$25</definedName>
    <definedName name="_xlnm._FilterDatabase" localSheetId="179" hidden="1">'Sinv-0719-16'!$A$15:$J$22</definedName>
    <definedName name="_xlnm._FilterDatabase" localSheetId="271" hidden="1">'Sinv-0818-001'!$A$15:$J$21</definedName>
    <definedName name="_xlnm._FilterDatabase" localSheetId="178" hidden="1">'Sinv-0819-01'!$A$15:$J$21</definedName>
    <definedName name="_xlnm._FilterDatabase" localSheetId="177" hidden="1">'Sinv-0819-02'!$A$15:$J$24</definedName>
    <definedName name="_xlnm._FilterDatabase" localSheetId="176" hidden="1">'Sinv-0819-03'!$A$15:$J$21</definedName>
    <definedName name="_xlnm._FilterDatabase" localSheetId="175" hidden="1">'Sinv-0819-04'!$A$15:$J$28</definedName>
    <definedName name="_xlnm._FilterDatabase" localSheetId="174" hidden="1">'Sinv-0819-05'!$A$15:$J$22</definedName>
    <definedName name="_xlnm._FilterDatabase" localSheetId="173" hidden="1">'Sinv-0819-06'!$A$15:$J$22</definedName>
    <definedName name="_xlnm._FilterDatabase" localSheetId="172" hidden="1">'Sinv-0819-07'!$A$15:$J$24</definedName>
    <definedName name="_xlnm._FilterDatabase" localSheetId="171" hidden="1">'Sinv-0819-08'!$A$15:$J$25</definedName>
    <definedName name="_xlnm._FilterDatabase" localSheetId="170" hidden="1">'Sinv-0819-09'!$A$15:$J$22</definedName>
    <definedName name="_xlnm._FilterDatabase" localSheetId="169" hidden="1">'Sinv-0819-10'!$A$15:$J$29</definedName>
    <definedName name="_xlnm._FilterDatabase" localSheetId="168" hidden="1">'Sinv-0819-11'!$A$15:$J$28</definedName>
    <definedName name="_xlnm._FilterDatabase" localSheetId="167" hidden="1">'Sinv-0819-12'!$A$15:$J$25</definedName>
    <definedName name="_xlnm._FilterDatabase" localSheetId="166" hidden="1">'Sinv-0819-13'!$A$15:$J$22</definedName>
    <definedName name="_xlnm._FilterDatabase" localSheetId="165" hidden="1">'Sinv-0819-14'!$A$15:$J$28</definedName>
    <definedName name="_xlnm._FilterDatabase" localSheetId="164" hidden="1">'Sinv-0819-15'!$A$15:$J$26</definedName>
    <definedName name="_xlnm._FilterDatabase" localSheetId="163" hidden="1">'Sinv-0819-16'!$A$15:$J$21</definedName>
    <definedName name="_xlnm._FilterDatabase" localSheetId="162" hidden="1">'Sinv-0819-17'!$A$15:$J$22</definedName>
    <definedName name="_xlnm._FilterDatabase" localSheetId="161" hidden="1">'Sinv-0819-18'!$A$15:$J$22</definedName>
    <definedName name="_xlnm._FilterDatabase" localSheetId="160" hidden="1">'Sinv-0819-19'!$A$15:$J$26</definedName>
    <definedName name="_xlnm._FilterDatabase" localSheetId="159" hidden="1">'Sinv-0819-20'!$A$15:$J$24</definedName>
    <definedName name="_xlnm._FilterDatabase" localSheetId="158" hidden="1">'Sinv-0819-21'!$A$15:$J$23</definedName>
    <definedName name="_xlnm._FilterDatabase" localSheetId="269" hidden="1">'Sinv-0918-001'!$A$15:$J$33</definedName>
    <definedName name="_xlnm._FilterDatabase" localSheetId="268" hidden="1">'Sinv-0918-002'!$A$15:$J$21</definedName>
    <definedName name="_xlnm._FilterDatabase" localSheetId="267" hidden="1">'Sinv-0918-003'!$A$15:$J$21</definedName>
    <definedName name="_xlnm._FilterDatabase" localSheetId="157" hidden="1">'Sinv-0919-01'!$A$15:$J$21</definedName>
    <definedName name="_xlnm._FilterDatabase" localSheetId="156" hidden="1">'Sinv-0919-02'!$A$15:$J$21</definedName>
    <definedName name="_xlnm._FilterDatabase" localSheetId="155" hidden="1">'Sinv-0919-03'!$A$15:$J$23</definedName>
    <definedName name="_xlnm._FilterDatabase" localSheetId="154" hidden="1">'Sinv-0919-04'!$A$15:$J$34</definedName>
    <definedName name="_xlnm._FilterDatabase" localSheetId="153" hidden="1">'Sinv-0919-05'!$A$15:$J$23</definedName>
    <definedName name="_xlnm._FilterDatabase" localSheetId="152" hidden="1">'Sinv-0919-06'!$A$15:$J$22</definedName>
    <definedName name="_xlnm._FilterDatabase" localSheetId="151" hidden="1">'Sinv-0919-07'!$A$15:$J$25</definedName>
    <definedName name="_xlnm._FilterDatabase" localSheetId="150" hidden="1">'Sinv-0919-08'!$A$15:$J$22</definedName>
    <definedName name="_xlnm._FilterDatabase" localSheetId="149" hidden="1">'Sinv-0919-09'!$A$15:$J$25</definedName>
    <definedName name="_xlnm._FilterDatabase" localSheetId="148" hidden="1">'Sinv-0919-10'!$A$15:$J$25</definedName>
    <definedName name="_xlnm._FilterDatabase" localSheetId="147" hidden="1">'Sinv-0919-11'!$A$15:$J$22</definedName>
    <definedName name="_xlnm._FilterDatabase" localSheetId="146" hidden="1">'Sinv-0919-12'!$A$15:$J$22</definedName>
    <definedName name="_xlnm._FilterDatabase" localSheetId="145" hidden="1">'Sinv-0919-13'!$A$15:$J$146</definedName>
    <definedName name="_xlnm._FilterDatabase" localSheetId="144" hidden="1">'Sinv-0919-14'!$A$15:$J$25</definedName>
    <definedName name="_xlnm._FilterDatabase" localSheetId="143" hidden="1">'Sinv-0919-15'!$A$15:$J$26</definedName>
    <definedName name="_xlnm._FilterDatabase" localSheetId="142" hidden="1">'Sinv-0919-16'!$A$15:$J$39</definedName>
    <definedName name="_xlnm._FilterDatabase" localSheetId="141" hidden="1">'Sinv-0919-17'!$A$15:$J$23</definedName>
    <definedName name="_xlnm._FilterDatabase" localSheetId="140" hidden="1">'Sinv-0919-18'!$A$15:$J$39</definedName>
    <definedName name="_xlnm._FilterDatabase" localSheetId="139" hidden="1">'Sinv-0919-19'!$A$15:$J$24</definedName>
    <definedName name="_xlnm._FilterDatabase" localSheetId="138" hidden="1">'Sinv-0919-20'!$A$15:$J$31</definedName>
    <definedName name="_xlnm._FilterDatabase" localSheetId="137" hidden="1">'Sinv-0919-21'!$A$15:$J$24</definedName>
    <definedName name="_xlnm._FilterDatabase" localSheetId="136" hidden="1">'Sinv-0919-22'!$A$15:$J$29</definedName>
    <definedName name="_xlnm._FilterDatabase" localSheetId="135" hidden="1">'Sinv-0919-23'!$A$15:$J$25</definedName>
    <definedName name="_xlnm._FilterDatabase" localSheetId="134" hidden="1">'Sinv-0919-24'!$A$15:$J$23</definedName>
    <definedName name="_xlnm._FilterDatabase" localSheetId="133" hidden="1">'Sinv-0919-25'!$A$15:$J$23</definedName>
    <definedName name="_xlnm._FilterDatabase" localSheetId="132" hidden="1">'Sinv-0919-26'!$A$15:$J$22</definedName>
    <definedName name="_xlnm._FilterDatabase" localSheetId="131" hidden="1">'Sinv-0919-27'!$A$15:$J$22</definedName>
    <definedName name="_xlnm._FilterDatabase" localSheetId="130" hidden="1">'Sinv-0919-28'!$A$15:$J$29</definedName>
    <definedName name="_xlnm._FilterDatabase" localSheetId="129" hidden="1">'Sinv-0919-29'!$A$15:$J$28</definedName>
    <definedName name="_xlnm._FilterDatabase" localSheetId="128" hidden="1">'Sinv-0919-30'!$A$15:$J$22</definedName>
    <definedName name="_xlnm._FilterDatabase" localSheetId="127" hidden="1">'Sinv-0919-31'!$A$15:$J$21</definedName>
    <definedName name="_xlnm._FilterDatabase" localSheetId="126" hidden="1">'Sinv-0919-32'!$A$15:$J$21</definedName>
    <definedName name="_xlnm._FilterDatabase" localSheetId="125" hidden="1">'Sinv-0919-33'!$A$15:$J$26</definedName>
    <definedName name="_xlnm._FilterDatabase" localSheetId="124" hidden="1">'Sinv-0919-34'!$A$15:$J$22</definedName>
    <definedName name="_xlnm._FilterDatabase" localSheetId="123" hidden="1">'Sinv-0919-35'!$A$15:$J$23</definedName>
    <definedName name="_xlnm._FilterDatabase" localSheetId="122" hidden="1">'Sinv-0919-36'!$A$15:$J$24</definedName>
    <definedName name="_xlnm._FilterDatabase" localSheetId="121" hidden="1">'Sinv-0919-37'!$A$15:$J$25</definedName>
    <definedName name="_xlnm._FilterDatabase" localSheetId="120" hidden="1">'Sinv-0919-38'!$A$15:$J$23</definedName>
    <definedName name="_xlnm._FilterDatabase" localSheetId="265" hidden="1">'Sinv-1018-02'!$A$15:$J$21</definedName>
    <definedName name="_xlnm._FilterDatabase" localSheetId="264" hidden="1">'Sinv-1018-03'!$A$15:$J$21</definedName>
    <definedName name="_xlnm._FilterDatabase" localSheetId="262" hidden="1">'Sinv-1018-05'!$A$15:$J$21</definedName>
    <definedName name="_xlnm._FilterDatabase" localSheetId="261" hidden="1">'Sinv-1018-06'!$A$15:$J$21</definedName>
    <definedName name="_xlnm._FilterDatabase" localSheetId="260" hidden="1">'Sinv-1018-07'!$A$15:$J$21</definedName>
    <definedName name="_xlnm._FilterDatabase" localSheetId="259" hidden="1">'Sinv-1018-08'!$A$15:$J$21</definedName>
    <definedName name="_xlnm._FilterDatabase" localSheetId="119" hidden="1">'Sinv-1019-01'!$A$15:$J$24</definedName>
    <definedName name="_xlnm._FilterDatabase" localSheetId="118" hidden="1">'Sinv-1019-02'!$A$15:$J$22</definedName>
    <definedName name="_xlnm._FilterDatabase" localSheetId="117" hidden="1">'Sinv-1019-03'!$A$15:$J$22</definedName>
    <definedName name="_xlnm._FilterDatabase" localSheetId="116" hidden="1">'Sinv-1019-04'!$A$15:$J$36</definedName>
    <definedName name="_xlnm._FilterDatabase" localSheetId="115" hidden="1">'Sinv-1019-05'!$A$15:$J$22</definedName>
    <definedName name="_xlnm._FilterDatabase" localSheetId="114" hidden="1">'Sinv-1019-06'!$A$15:$J$28</definedName>
    <definedName name="_xlnm._FilterDatabase" localSheetId="113" hidden="1">'Sinv-1019-07'!$A$15:$J$25</definedName>
    <definedName name="_xlnm._FilterDatabase" localSheetId="112" hidden="1">'Sinv-1019-08'!$A$15:$J$22</definedName>
    <definedName name="_xlnm._FilterDatabase" localSheetId="111" hidden="1">'Sinv-1019-09'!$A$15:$J$25</definedName>
    <definedName name="_xlnm._FilterDatabase" localSheetId="110" hidden="1">'Sinv-1019-10'!$A$15:$J$22</definedName>
    <definedName name="_xlnm._FilterDatabase" localSheetId="109" hidden="1">'Sinv-1019-11'!$A$15:$J$24</definedName>
    <definedName name="_xlnm._FilterDatabase" localSheetId="107" hidden="1">'Sinv-1019-12'!$A$15:$J$22</definedName>
    <definedName name="_xlnm._FilterDatabase" localSheetId="106" hidden="1">'Sinv-1019-13'!$A$15:$J$22</definedName>
    <definedName name="_xlnm._FilterDatabase" localSheetId="105" hidden="1">'Sinv-1019-14'!$A$15:$J$25</definedName>
    <definedName name="_xlnm._FilterDatabase" localSheetId="104" hidden="1">'Sinv-1019-15'!$A$15:$J$22</definedName>
    <definedName name="_xlnm._FilterDatabase" localSheetId="103" hidden="1">'Sinv-1019-16'!$A$15:$J$28</definedName>
    <definedName name="_xlnm._FilterDatabase" localSheetId="102" hidden="1">'Sinv-1019-17'!$A$15:$J$24</definedName>
    <definedName name="_xlnm._FilterDatabase" localSheetId="101" hidden="1">'Sinv-1019-18'!$A$15:$J$28</definedName>
    <definedName name="_xlnm._FilterDatabase" localSheetId="100" hidden="1">'Sinv-1019-19'!$A$15:$J$21</definedName>
    <definedName name="_xlnm._FilterDatabase" localSheetId="99" hidden="1">'Sinv-1019-20'!$A$15:$J$21</definedName>
    <definedName name="_xlnm._FilterDatabase" localSheetId="98" hidden="1">'Sinv-1019-21'!$A$15:$J$21</definedName>
    <definedName name="_xlnm._FilterDatabase" localSheetId="97" hidden="1">'Sinv-1019-22'!$A$15:$J$22</definedName>
    <definedName name="_xlnm._FilterDatabase" localSheetId="96" hidden="1">'Sinv-1019-23'!$A$15:$J$22</definedName>
    <definedName name="_xlnm._FilterDatabase" localSheetId="95" hidden="1">'Sinv-1019-24'!$A$15:$J$22</definedName>
    <definedName name="_xlnm._FilterDatabase" localSheetId="94" hidden="1">'Sinv-1019-25'!$A$15:$J$22</definedName>
    <definedName name="_xlnm._FilterDatabase" localSheetId="93" hidden="1">'Sinv-1019-26'!$A$15:$J$22</definedName>
    <definedName name="_xlnm._FilterDatabase" localSheetId="92" hidden="1">'Sinv-1019-27'!$A$15:$J$25</definedName>
    <definedName name="_xlnm._FilterDatabase" localSheetId="91" hidden="1">'Sinv-1019-28'!$A$15:$J$25</definedName>
    <definedName name="_xlnm._FilterDatabase" localSheetId="90" hidden="1">'Sinv-1019-29'!$A$15:$J$22</definedName>
    <definedName name="_xlnm._FilterDatabase" localSheetId="89" hidden="1">'Sinv-1019-30'!$A$15:$J$34</definedName>
    <definedName name="_xlnm._FilterDatabase" localSheetId="88" hidden="1">'Sinv-1019-31'!$A$15:$J$24</definedName>
    <definedName name="_xlnm._FilterDatabase" localSheetId="87" hidden="1">'Sinv-1019-32'!$A$15:$J$23</definedName>
    <definedName name="_xlnm._FilterDatabase" localSheetId="257" hidden="1">'Sinv-1118-01'!$A$15:$J$21</definedName>
    <definedName name="_xlnm._FilterDatabase" localSheetId="256" hidden="1">'Sinv-1118-02'!$A$15:$J$24</definedName>
    <definedName name="_xlnm._FilterDatabase" localSheetId="252" hidden="1">'Sinv-1118-06'!$A$15:$J$28</definedName>
    <definedName name="_xlnm._FilterDatabase" localSheetId="86" hidden="1">'Sinv-1119-01'!$A$15:$J$24</definedName>
    <definedName name="_xlnm._FilterDatabase" localSheetId="84" hidden="1">'Sinv-1119-02'!$A$15:$J$24</definedName>
    <definedName name="_xlnm._FilterDatabase" localSheetId="83" hidden="1">'Sinv-1119-03'!$A$15:$J$22</definedName>
    <definedName name="_xlnm._FilterDatabase" localSheetId="82" hidden="1">'Sinv-1119-04'!$A$15:$J$24</definedName>
    <definedName name="_xlnm._FilterDatabase" localSheetId="81" hidden="1">'Sinv-1119-05'!$A$15:$J$23</definedName>
    <definedName name="_xlnm._FilterDatabase" localSheetId="80" hidden="1">'Sinv-1119-06'!$A$15:$J$116</definedName>
    <definedName name="_xlnm._FilterDatabase" localSheetId="79" hidden="1">'Sinv-1119-07'!$A$15:$J$26</definedName>
    <definedName name="_xlnm._FilterDatabase" localSheetId="78" hidden="1">'Sinv-1119-08'!$A$15:$J$21</definedName>
    <definedName name="_xlnm._FilterDatabase" localSheetId="77" hidden="1">'Sinv-1119-09'!$A$15:$J$22</definedName>
    <definedName name="_xlnm._FilterDatabase" localSheetId="76" hidden="1">'Sinv-1119-10'!$A$15:$J$40</definedName>
    <definedName name="_xlnm._FilterDatabase" localSheetId="75" hidden="1">'Sinv-1119-11'!$A$15:$J$22</definedName>
    <definedName name="_xlnm._FilterDatabase" localSheetId="74" hidden="1">'Sinv-1119-12'!$A$15:$J$25</definedName>
    <definedName name="_xlnm._FilterDatabase" localSheetId="73" hidden="1">'Sinv-1119-13'!$A$15:$J$21</definedName>
    <definedName name="_xlnm._FilterDatabase" localSheetId="72" hidden="1">'Sinv-1119-14'!$A$15:$J$25</definedName>
    <definedName name="_xlnm._FilterDatabase" localSheetId="71" hidden="1">'Sinv-1119-15'!$A$15:$J$35</definedName>
    <definedName name="_xlnm._FilterDatabase" localSheetId="70" hidden="1">'Sinv-1119-16'!$A$15:$J$22</definedName>
    <definedName name="_xlnm._FilterDatabase" localSheetId="69" hidden="1">'Sinv-1119-17'!$A$15:$J$23</definedName>
    <definedName name="_xlnm._FilterDatabase" localSheetId="68" hidden="1">'Sinv-1119-18'!$A$15:$J$22</definedName>
    <definedName name="_xlnm._FilterDatabase" localSheetId="67" hidden="1">'Sinv-1119-19'!$A$15:$J$22</definedName>
    <definedName name="_xlnm._FilterDatabase" localSheetId="66" hidden="1">'Sinv-1119-20'!$A$15:$J$22</definedName>
    <definedName name="_xlnm._FilterDatabase" localSheetId="65" hidden="1">'Sinv-1119-21'!$A$15:$J$22</definedName>
    <definedName name="_xlnm._FilterDatabase" localSheetId="64" hidden="1">'Sinv-1119-22'!$A$15:$J$35</definedName>
    <definedName name="_xlnm._FilterDatabase" localSheetId="63" hidden="1">'Sinv-1119-23'!$A$15:$J$36</definedName>
    <definedName name="_xlnm._FilterDatabase" localSheetId="62" hidden="1">'Sinv-1119-24'!$A$15:$J$22</definedName>
    <definedName name="_xlnm._FilterDatabase" localSheetId="61" hidden="1">'Sinv-1119-25'!$A$15:$J$25</definedName>
    <definedName name="_xlnm._FilterDatabase" localSheetId="60" hidden="1">'Sinv-1119-26'!$A$15:$J$32</definedName>
    <definedName name="_xlnm._FilterDatabase" localSheetId="251" hidden="1">'Sinv-1218-01'!$A$15:$J$21</definedName>
    <definedName name="_xlnm._FilterDatabase" localSheetId="250" hidden="1">'Sinv-1218-02'!$A$15:$J$21</definedName>
    <definedName name="_xlnm._FilterDatabase" localSheetId="249" hidden="1">'Sinv-1218-03'!$A$15:$J$21</definedName>
    <definedName name="_xlnm._FilterDatabase" localSheetId="59" hidden="1">'Sinv-1219-01'!$A$15:$J$29</definedName>
    <definedName name="_xlnm._FilterDatabase" localSheetId="57" hidden="1">'Sinv-1219-02'!$A$15:$J$30</definedName>
    <definedName name="_xlnm._FilterDatabase" localSheetId="55" hidden="1">'Sinv-1219-03'!$A$15:$J$22</definedName>
    <definedName name="_xlnm._FilterDatabase" localSheetId="54" hidden="1">'Sinv-1219-04'!$A$15:$J$22</definedName>
    <definedName name="_xlnm._FilterDatabase" localSheetId="53" hidden="1">'Sinv-1219-05'!$A$15:$J$22</definedName>
    <definedName name="_xlnm._FilterDatabase" localSheetId="52" hidden="1">'Sinv-1219-06'!$A$15:$J$37</definedName>
    <definedName name="_xlnm._FilterDatabase" localSheetId="51" hidden="1">'Sinv-1219-07'!$A$15:$J$25</definedName>
    <definedName name="_xlnm._FilterDatabase" localSheetId="50" hidden="1">'Sinv-1219-08'!$A$15:$J$22</definedName>
    <definedName name="_xlnm._FilterDatabase" localSheetId="49" hidden="1">'Sinv-1219-09'!$A$15:$J$29</definedName>
    <definedName name="_xlnm._FilterDatabase" localSheetId="48" hidden="1">'Sinv-1219-10'!$A$15:$J$29</definedName>
    <definedName name="_xlnm._FilterDatabase" localSheetId="47" hidden="1">'Sinv-1219-11'!$A$15:$J$37</definedName>
    <definedName name="_xlnm._FilterDatabase" localSheetId="46" hidden="1">'Sinv-1219-12'!$A$15:$J$36</definedName>
    <definedName name="_xlnm._FilterDatabase" localSheetId="45" hidden="1">'Sinv-1219-13'!$A$15:$J$22</definedName>
    <definedName name="_xlnm._FilterDatabase" localSheetId="44" hidden="1">'Sinv-1219-14'!$A$15:$J$33</definedName>
    <definedName name="_xlnm._FilterDatabase" localSheetId="43" hidden="1">'Sinv-1219-15'!$A$15:$J$30</definedName>
    <definedName name="_xlnm._FilterDatabase" localSheetId="42" hidden="1">'Sinv-1219-16'!$A$15:$J$22</definedName>
    <definedName name="_xlnm._FilterDatabase" localSheetId="41" hidden="1">'Sinv-1219-17'!$A$15:$J$23</definedName>
    <definedName name="_xlnm._FilterDatabase" localSheetId="40" hidden="1">'Sinv-1219-18'!$A$15:$J$37</definedName>
    <definedName name="_xlnm._FilterDatabase" localSheetId="39" hidden="1">'Sinv-1219-19'!$A$15:$J$22</definedName>
    <definedName name="_xlnm._FilterDatabase" localSheetId="38" hidden="1">'Sinv-1219-20'!$A$15:$J$22</definedName>
    <definedName name="_xlnm._FilterDatabase" localSheetId="37" hidden="1">'Sinv-1219-21'!$A$15:$J$24</definedName>
    <definedName name="_xlnm._FilterDatabase" localSheetId="36" hidden="1">'Sinv-1219-22'!$A$15:$J$22</definedName>
    <definedName name="_xlnm._FilterDatabase" localSheetId="35" hidden="1">'Sinv-1219-23'!$A$15:$J$22</definedName>
    <definedName name="_xlnm._FilterDatabase" localSheetId="34" hidden="1">'Sinv-1219-24'!$A$15:$J$22</definedName>
    <definedName name="_xlnm._FilterDatabase" localSheetId="33" hidden="1">'Sinv-1219-25'!$A$15:$J$21</definedName>
    <definedName name="_xlnm._FilterDatabase" localSheetId="32" hidden="1">'Sinv-1219-27'!$A$15:$J$24</definedName>
    <definedName name="_xlnm._FilterDatabase" localSheetId="31" hidden="1">'Sinv-1219-28'!$A$15:$J$22</definedName>
    <definedName name="_xlnm._FilterDatabase" localSheetId="30" hidden="1">'Sinv-1219-29'!$A$15:$J$45</definedName>
    <definedName name="_xlnm._FilterDatabase" localSheetId="29" hidden="1">'Sinv-1219-30'!$A$15:$J$24</definedName>
    <definedName name="_xlnm._FilterDatabase" localSheetId="28" hidden="1">'Sinv-1219-31'!$A$15:$J$43</definedName>
    <definedName name="_xlnm._FilterDatabase" localSheetId="27" hidden="1">'Sinv-1219-32'!$A$15:$J$32</definedName>
    <definedName name="_xlnm._FilterDatabase" localSheetId="26" hidden="1">'Sinv-1219-33'!$A$15:$J$29</definedName>
    <definedName name="_xlnm._FilterDatabase" localSheetId="25" hidden="1">'Sinv-1219-34'!$A$15:$J$26</definedName>
    <definedName name="_xlnm._FilterDatabase" localSheetId="24" hidden="1">'Sinv-1219-35'!$A$15:$J$26</definedName>
    <definedName name="_xlnm._FilterDatabase" localSheetId="23" hidden="1">'Sinv-1219-36'!$A$15:$J$43</definedName>
    <definedName name="_xlnm._FilterDatabase" localSheetId="22" hidden="1">'Sinv-1219-37'!$A$15:$J$35</definedName>
    <definedName name="_xlnm._FilterDatabase" localSheetId="21" hidden="1">'Sinv-1219-38'!$A$15:$J$33</definedName>
    <definedName name="_xlnm._FilterDatabase" localSheetId="20" hidden="1">'Sinv-1219-39'!$A$15:$J$43</definedName>
    <definedName name="_xlnm._FilterDatabase" localSheetId="19" hidden="1">'Sinv-1219-40'!$A$15:$J$49</definedName>
    <definedName name="_xlnm._FilterDatabase" localSheetId="18" hidden="1">'Sinv-1219-41'!$A$15:$J$32</definedName>
    <definedName name="_xlnm._FilterDatabase" localSheetId="17" hidden="1">'Sinv-1219-42'!$A$15:$J$36</definedName>
    <definedName name="_xlnm._FilterDatabase" localSheetId="12" hidden="1">'Sinv-1219-42 (4)'!$A$15:$J$235</definedName>
    <definedName name="_xlnm._FilterDatabase" localSheetId="16" hidden="1">'Sinv-1219-43'!$A$15:$J$25</definedName>
    <definedName name="_xlnm._FilterDatabase" localSheetId="15" hidden="1">'Sinv-1219-44'!$A$15:$J$28</definedName>
    <definedName name="_xlnm._FilterDatabase" localSheetId="8" hidden="1">'Sinv-1219-44 (2)'!$A$15:$J$22</definedName>
    <definedName name="_xlnm._FilterDatabase" localSheetId="14" hidden="1">'Sinv-1219-45'!$A$15:$J$21</definedName>
    <definedName name="_xlnm._FilterDatabase" localSheetId="13" hidden="1">'Sinv-1219-46'!$A$15:$J$28</definedName>
    <definedName name="_xlnm._FilterDatabase" localSheetId="11" hidden="1">'Sinv-1219-47'!$A$15:$J$23</definedName>
    <definedName name="_xlnm._FilterDatabase" localSheetId="10" hidden="1">'Sinv-1219-48'!$A$15:$J$25</definedName>
    <definedName name="_xlnm._FilterDatabase" localSheetId="9" hidden="1">'Sinv-1219-49'!$A$15:$J$22</definedName>
    <definedName name="_xlnm._FilterDatabase" localSheetId="1" hidden="1">'TCSAS-0123-01'!$A$15:$J$22</definedName>
    <definedName name="_xlnm._FilterDatabase" localSheetId="0" hidden="1">'TCSAS-0123-01 (2)'!$A$15:$J$22</definedName>
    <definedName name="_xlnm.Print_Titles" localSheetId="7">'0722-25'!$1:$15</definedName>
    <definedName name="_xlnm.Print_Titles" localSheetId="6">'0722-26'!$1:$15</definedName>
    <definedName name="_xlnm.Print_Titles" localSheetId="5">'0822-M001'!$1:$15</definedName>
    <definedName name="_xlnm.Print_Titles" localSheetId="108">'CN-1019-001'!$1:$15</definedName>
    <definedName name="_xlnm.Print_Titles" localSheetId="85">'CN-1119-01'!$1:$15</definedName>
    <definedName name="_xlnm.Print_Titles" localSheetId="4">'GFG Old Case'!$1:$15</definedName>
    <definedName name="_xlnm.Print_Titles" localSheetId="58">'GST-1219-01'!$1:$15</definedName>
    <definedName name="_xlnm.Print_Titles" localSheetId="56">'GST-1219-02'!$1:$15</definedName>
    <definedName name="_xlnm.Print_Titles" localSheetId="3">'Peoples Steel '!$1:$15</definedName>
    <definedName name="_xlnm.Print_Titles" localSheetId="2">'Peoples Steel  D'!$1:$15</definedName>
    <definedName name="_xlnm.Print_Titles" localSheetId="355">'Sinv-0117-001'!$1:$15</definedName>
    <definedName name="_xlnm.Print_Titles" localSheetId="354">'Sinv-0117-002'!$1:$15</definedName>
    <definedName name="_xlnm.Print_Titles" localSheetId="353">'Sinv-0117-003'!$1:$15</definedName>
    <definedName name="_xlnm.Print_Titles" localSheetId="352">'Sinv-0117-004'!$1:$15</definedName>
    <definedName name="_xlnm.Print_Titles" localSheetId="351">'Sinv-0117-005'!$1:$15</definedName>
    <definedName name="_xlnm.Print_Titles" localSheetId="350">'Sinv-0117-006'!$1:$15</definedName>
    <definedName name="_xlnm.Print_Titles" localSheetId="349">'Sinv-0117-007'!$1:$15</definedName>
    <definedName name="_xlnm.Print_Titles" localSheetId="348">'Sinv-0117-008'!$1:$15</definedName>
    <definedName name="_xlnm.Print_Titles" localSheetId="347">'Sinv-0117-009'!$1:$15</definedName>
    <definedName name="_xlnm.Print_Titles" localSheetId="346">'Sinv-0117-010'!$1:$15</definedName>
    <definedName name="_xlnm.Print_Titles" localSheetId="345">'Sinv-0117-011'!$1:$15</definedName>
    <definedName name="_xlnm.Print_Titles" localSheetId="344">'Sinv-0117-012'!$1:$15</definedName>
    <definedName name="_xlnm.Print_Titles" localSheetId="293">'Sinv-0118-001'!$1:$15</definedName>
    <definedName name="_xlnm.Print_Titles" localSheetId="292">'Sinv-0118-002'!$1:$15</definedName>
    <definedName name="_xlnm.Print_Titles" localSheetId="291">'Sinv-0118-003'!$1:$15</definedName>
    <definedName name="_xlnm.Print_Titles" localSheetId="290">'Sinv-0118-004'!$1:$15</definedName>
    <definedName name="_xlnm.Print_Titles" localSheetId="289">'Sinv-0118-005'!$1:$15</definedName>
    <definedName name="_xlnm.Print_Titles" localSheetId="248">'Sinv-0119-01'!$1:$15</definedName>
    <definedName name="_xlnm.Print_Titles" localSheetId="247">'Sinv-0119-02'!$1:$15</definedName>
    <definedName name="_xlnm.Print_Titles" localSheetId="246">'Sinv-0119-03'!$1:$15</definedName>
    <definedName name="_xlnm.Print_Titles" localSheetId="245">'Sinv-0119-04'!$1:$15</definedName>
    <definedName name="_xlnm.Print_Titles" localSheetId="343">'Sinv-0217-001'!$1:$15</definedName>
    <definedName name="_xlnm.Print_Titles" localSheetId="342">'Sinv-0217-002'!$1:$15</definedName>
    <definedName name="_xlnm.Print_Titles" localSheetId="288">'Sinv-0218-001'!$1:$15</definedName>
    <definedName name="_xlnm.Print_Titles" localSheetId="287">'Sinv-0218-002'!$1:$15</definedName>
    <definedName name="_xlnm.Print_Titles" localSheetId="284">'Sinv-0218-002a'!$1:$15</definedName>
    <definedName name="_xlnm.Print_Titles" localSheetId="286">'Sinv-0218-003'!$1:$15</definedName>
    <definedName name="_xlnm.Print_Titles" localSheetId="285">'Sinv-0218-004'!$1:$15</definedName>
    <definedName name="_xlnm.Print_Titles" localSheetId="244">'Sinv-0219-01'!$1:$15</definedName>
    <definedName name="_xlnm.Print_Titles" localSheetId="243">'Sinv-0219-02'!$1:$15</definedName>
    <definedName name="_xlnm.Print_Titles" localSheetId="242">'Sinv-0219-03'!$1:$15</definedName>
    <definedName name="_xlnm.Print_Titles" localSheetId="241">'Sinv-0219-04'!$1:$15</definedName>
    <definedName name="_xlnm.Print_Titles" localSheetId="240">'Sinv-0219-05'!$1:$15</definedName>
    <definedName name="_xlnm.Print_Titles" localSheetId="239">'Sinv-0219-06'!$1:$15</definedName>
    <definedName name="_xlnm.Print_Titles" localSheetId="238">'Sinv-0219-07'!$1:$15</definedName>
    <definedName name="_xlnm.Print_Titles" localSheetId="237">'Sinv-0219-08'!$1:$15</definedName>
    <definedName name="_xlnm.Print_Titles" localSheetId="341">'Sinv-0317-001'!$1:$15</definedName>
    <definedName name="_xlnm.Print_Titles" localSheetId="340">'Sinv-0317-002'!$1:$15</definedName>
    <definedName name="_xlnm.Print_Titles" localSheetId="339">'Sinv-0317-003'!$1:$15</definedName>
    <definedName name="_xlnm.Print_Titles" localSheetId="338">'Sinv-0317-004'!$1:$15</definedName>
    <definedName name="_xlnm.Print_Titles" localSheetId="337">'Sinv-0317-005'!$1:$15</definedName>
    <definedName name="_xlnm.Print_Titles" localSheetId="336">'Sinv-0317-006'!$1:$15</definedName>
    <definedName name="_xlnm.Print_Titles" localSheetId="335">'Sinv-0317-007'!$1:$15</definedName>
    <definedName name="_xlnm.Print_Titles" localSheetId="334">'Sinv-0317-008'!$1:$15</definedName>
    <definedName name="_xlnm.Print_Titles" localSheetId="333">'Sinv-0317-009'!$1:$15</definedName>
    <definedName name="_xlnm.Print_Titles" localSheetId="283">'Sinv-0318-001'!$1:$15</definedName>
    <definedName name="_xlnm.Print_Titles" localSheetId="282">'Sinv-0318-002'!$1:$15</definedName>
    <definedName name="_xlnm.Print_Titles" localSheetId="281">'Sinv-0318-003'!$1:$15</definedName>
    <definedName name="_xlnm.Print_Titles" localSheetId="236">'Sinv-0319-01'!$1:$15</definedName>
    <definedName name="_xlnm.Print_Titles" localSheetId="235">'Sinv-0319-02'!$1:$15</definedName>
    <definedName name="_xlnm.Print_Titles" localSheetId="234">'Sinv-0319-03'!$1:$15</definedName>
    <definedName name="_xlnm.Print_Titles" localSheetId="233">'Sinv-0319-04'!$1:$15</definedName>
    <definedName name="_xlnm.Print_Titles" localSheetId="232">'Sinv-0319-05'!$1:$15</definedName>
    <definedName name="_xlnm.Print_Titles" localSheetId="231">'Sinv-0319-06'!$1:$15</definedName>
    <definedName name="_xlnm.Print_Titles" localSheetId="230">'Sinv-0319-07'!$1:$15</definedName>
    <definedName name="_xlnm.Print_Titles" localSheetId="332">'Sinv-0417-001'!$1:$15</definedName>
    <definedName name="_xlnm.Print_Titles" localSheetId="331">'Sinv-0417-002'!$1:$15</definedName>
    <definedName name="_xlnm.Print_Titles" localSheetId="280">'Sinv-0418-001'!$1:$15</definedName>
    <definedName name="_xlnm.Print_Titles" localSheetId="279">'Sinv-0418-002'!$1:$15</definedName>
    <definedName name="_xlnm.Print_Titles" localSheetId="278">'Sinv-0418-003'!$1:$15</definedName>
    <definedName name="_xlnm.Print_Titles" localSheetId="229">'Sinv-0419-01'!$1:$15</definedName>
    <definedName name="_xlnm.Print_Titles" localSheetId="228">'Sinv-0419-02'!$1:$15</definedName>
    <definedName name="_xlnm.Print_Titles" localSheetId="227">'Sinv-0419-03'!$1:$15</definedName>
    <definedName name="_xlnm.Print_Titles" localSheetId="226">'Sinv-0419-04'!$1:$15</definedName>
    <definedName name="_xlnm.Print_Titles" localSheetId="225">'Sinv-0419-05'!$1:$15</definedName>
    <definedName name="_xlnm.Print_Titles" localSheetId="224">'Sinv-0419-06'!$1:$15</definedName>
    <definedName name="_xlnm.Print_Titles" localSheetId="223">'Sinv-0419-07'!$1:$15</definedName>
    <definedName name="_xlnm.Print_Titles" localSheetId="222">'Sinv-0419-08'!$1:$15</definedName>
    <definedName name="_xlnm.Print_Titles" localSheetId="221">'Sinv-0419-09'!$1:$15</definedName>
    <definedName name="_xlnm.Print_Titles" localSheetId="220">'Sinv-0419-10'!$1:$15</definedName>
    <definedName name="_xlnm.Print_Titles" localSheetId="219">'Sinv-0419-11'!$1:$15</definedName>
    <definedName name="_xlnm.Print_Titles" localSheetId="218">'Sinv-0419-12'!$1:$15</definedName>
    <definedName name="_xlnm.Print_Titles" localSheetId="217">'Sinv-0419-13'!$1:$15</definedName>
    <definedName name="_xlnm.Print_Titles" localSheetId="216">'Sinv-0419-14'!$1:$15</definedName>
    <definedName name="_xlnm.Print_Titles" localSheetId="330">'Sinv-0517-001'!$1:$15</definedName>
    <definedName name="_xlnm.Print_Titles" localSheetId="329">'Sinv-0517-002'!$1:$15</definedName>
    <definedName name="_xlnm.Print_Titles" localSheetId="328">'Sinv-0517-003'!$1:$15</definedName>
    <definedName name="_xlnm.Print_Titles" localSheetId="327">'Sinv-0517-004'!$1:$15</definedName>
    <definedName name="_xlnm.Print_Titles" localSheetId="326">'Sinv-0517-005'!$1:$15</definedName>
    <definedName name="_xlnm.Print_Titles" localSheetId="325">'Sinv-0517-006'!$1:$15</definedName>
    <definedName name="_xlnm.Print_Titles" localSheetId="324">'Sinv-0517-007'!$1:$15</definedName>
    <definedName name="_xlnm.Print_Titles" localSheetId="214">'Sinv-0519-01'!$1:$15</definedName>
    <definedName name="_xlnm.Print_Titles" localSheetId="215">'Sinv-0519-01C'!$1:$15</definedName>
    <definedName name="_xlnm.Print_Titles" localSheetId="213">'Sinv-0519-02'!$1:$15</definedName>
    <definedName name="_xlnm.Print_Titles" localSheetId="212">'Sinv-0519-03'!$1:$15</definedName>
    <definedName name="_xlnm.Print_Titles" localSheetId="211">'Sinv-0519-04'!$1:$15</definedName>
    <definedName name="_xlnm.Print_Titles" localSheetId="210">'Sinv-0519-05'!$1:$15</definedName>
    <definedName name="_xlnm.Print_Titles" localSheetId="209">'Sinv-0519-06'!$1:$15</definedName>
    <definedName name="_xlnm.Print_Titles" localSheetId="208">'Sinv-0519-07'!$1:$15</definedName>
    <definedName name="_xlnm.Print_Titles" localSheetId="207">'Sinv-0519-08'!$1:$15</definedName>
    <definedName name="_xlnm.Print_Titles" localSheetId="206">'Sinv-0519-09'!$1:$15</definedName>
    <definedName name="_xlnm.Print_Titles" localSheetId="205">'Sinv-0519-10'!$1:$15</definedName>
    <definedName name="_xlnm.Print_Titles" localSheetId="204">'Sinv-0519-11'!$1:$15</definedName>
    <definedName name="_xlnm.Print_Titles" localSheetId="323">'Sinv-0617-001'!$1:$15</definedName>
    <definedName name="_xlnm.Print_Titles" localSheetId="322">'Sinv-0617-002'!$1:$15</definedName>
    <definedName name="_xlnm.Print_Titles" localSheetId="321">'Sinv-0617-003'!$1:$15</definedName>
    <definedName name="_xlnm.Print_Titles" localSheetId="320">'Sinv-0617-004'!$1:$15</definedName>
    <definedName name="_xlnm.Print_Titles" localSheetId="277">'Sinv-0618-001'!$1:$15</definedName>
    <definedName name="_xlnm.Print_Titles" localSheetId="276">'Sinv-0618-002'!$1:$15</definedName>
    <definedName name="_xlnm.Print_Titles" localSheetId="275">'Sinv-0618-003'!$1:$15</definedName>
    <definedName name="_xlnm.Print_Titles" localSheetId="274">'Sinv-0618-004'!$1:$15</definedName>
    <definedName name="_xlnm.Print_Titles" localSheetId="203">'Sinv-0619-01'!$1:$15</definedName>
    <definedName name="_xlnm.Print_Titles" localSheetId="202">'Sinv-0619-02'!$1:$15</definedName>
    <definedName name="_xlnm.Print_Titles" localSheetId="201">'Sinv-0619-03'!$1:$15</definedName>
    <definedName name="_xlnm.Print_Titles" localSheetId="200">'Sinv-0619-04'!$1:$15</definedName>
    <definedName name="_xlnm.Print_Titles" localSheetId="199">'Sinv-0619-05'!$1:$15</definedName>
    <definedName name="_xlnm.Print_Titles" localSheetId="198">'Sinv-0619-06'!$1:$15</definedName>
    <definedName name="_xlnm.Print_Titles" localSheetId="197">'Sinv-0619-07'!$1:$15</definedName>
    <definedName name="_xlnm.Print_Titles" localSheetId="196">'Sinv-0619-08'!$1:$15</definedName>
    <definedName name="_xlnm.Print_Titles" localSheetId="195">'Sinv-0619-09'!$1:$15</definedName>
    <definedName name="_xlnm.Print_Titles" localSheetId="319">'Sinv-0717-001'!$1:$15</definedName>
    <definedName name="_xlnm.Print_Titles" localSheetId="318">'Sinv-0717-002'!$1:$15</definedName>
    <definedName name="_xlnm.Print_Titles" localSheetId="317">'Sinv-0717-003'!$1:$15</definedName>
    <definedName name="_xlnm.Print_Titles" localSheetId="316">'Sinv-0717-004'!$1:$15</definedName>
    <definedName name="_xlnm.Print_Titles" localSheetId="315">'Sinv-0717-005'!$1:$15</definedName>
    <definedName name="_xlnm.Print_Titles" localSheetId="314">'Sinv-0717-006'!$1:$15</definedName>
    <definedName name="_xlnm.Print_Titles" localSheetId="313">'Sinv-0717-007'!$1:$15</definedName>
    <definedName name="_xlnm.Print_Titles" localSheetId="273">'Sinv-0718-001'!$1:$15</definedName>
    <definedName name="_xlnm.Print_Titles" localSheetId="272">'Sinv-0718-002'!$1:$15</definedName>
    <definedName name="_xlnm.Print_Titles" localSheetId="194">'Sinv-0719-01'!$1:$15</definedName>
    <definedName name="_xlnm.Print_Titles" localSheetId="193">'Sinv-0719-02'!$1:$15</definedName>
    <definedName name="_xlnm.Print_Titles" localSheetId="192">'Sinv-0719-03'!$1:$15</definedName>
    <definedName name="_xlnm.Print_Titles" localSheetId="191">'Sinv-0719-04'!$1:$15</definedName>
    <definedName name="_xlnm.Print_Titles" localSheetId="190">'Sinv-0719-05'!$1:$15</definedName>
    <definedName name="_xlnm.Print_Titles" localSheetId="189">'Sinv-0719-06'!$1:$15</definedName>
    <definedName name="_xlnm.Print_Titles" localSheetId="188">'Sinv-0719-07'!$1:$15</definedName>
    <definedName name="_xlnm.Print_Titles" localSheetId="187">'Sinv-0719-08'!$1:$15</definedName>
    <definedName name="_xlnm.Print_Titles" localSheetId="186">'Sinv-0719-09'!$1:$15</definedName>
    <definedName name="_xlnm.Print_Titles" localSheetId="185">'Sinv-0719-10'!$1:$15</definedName>
    <definedName name="_xlnm.Print_Titles" localSheetId="184">'Sinv-0719-11'!$1:$15</definedName>
    <definedName name="_xlnm.Print_Titles" localSheetId="183">'Sinv-0719-12'!$1:$15</definedName>
    <definedName name="_xlnm.Print_Titles" localSheetId="182">'Sinv-0719-13'!$1:$15</definedName>
    <definedName name="_xlnm.Print_Titles" localSheetId="181">'Sinv-0719-14'!$1:$15</definedName>
    <definedName name="_xlnm.Print_Titles" localSheetId="180">'Sinv-0719-15'!$1:$15</definedName>
    <definedName name="_xlnm.Print_Titles" localSheetId="179">'Sinv-0719-16'!$1:$15</definedName>
    <definedName name="_xlnm.Print_Titles" localSheetId="312">'Sinv-0817-001'!$1:$15</definedName>
    <definedName name="_xlnm.Print_Titles" localSheetId="311">'Sinv-0817-002'!$1:$15</definedName>
    <definedName name="_xlnm.Print_Titles" localSheetId="310">'Sinv-0817-003'!$1:$15</definedName>
    <definedName name="_xlnm.Print_Titles" localSheetId="309">'Sinv-0817-004'!$1:$15</definedName>
    <definedName name="_xlnm.Print_Titles" localSheetId="271">'Sinv-0818-001'!$1:$15</definedName>
    <definedName name="_xlnm.Print_Titles" localSheetId="270">'Sinv-0818-003'!$1:$15</definedName>
    <definedName name="_xlnm.Print_Titles" localSheetId="178">'Sinv-0819-01'!$1:$15</definedName>
    <definedName name="_xlnm.Print_Titles" localSheetId="177">'Sinv-0819-02'!$1:$15</definedName>
    <definedName name="_xlnm.Print_Titles" localSheetId="176">'Sinv-0819-03'!$1:$15</definedName>
    <definedName name="_xlnm.Print_Titles" localSheetId="175">'Sinv-0819-04'!$1:$15</definedName>
    <definedName name="_xlnm.Print_Titles" localSheetId="174">'Sinv-0819-05'!$1:$15</definedName>
    <definedName name="_xlnm.Print_Titles" localSheetId="173">'Sinv-0819-06'!$1:$15</definedName>
    <definedName name="_xlnm.Print_Titles" localSheetId="172">'Sinv-0819-07'!$1:$15</definedName>
    <definedName name="_xlnm.Print_Titles" localSheetId="171">'Sinv-0819-08'!$1:$15</definedName>
    <definedName name="_xlnm.Print_Titles" localSheetId="170">'Sinv-0819-09'!$1:$15</definedName>
    <definedName name="_xlnm.Print_Titles" localSheetId="169">'Sinv-0819-10'!$1:$15</definedName>
    <definedName name="_xlnm.Print_Titles" localSheetId="168">'Sinv-0819-11'!$1:$15</definedName>
    <definedName name="_xlnm.Print_Titles" localSheetId="167">'Sinv-0819-12'!$1:$15</definedName>
    <definedName name="_xlnm.Print_Titles" localSheetId="166">'Sinv-0819-13'!$1:$15</definedName>
    <definedName name="_xlnm.Print_Titles" localSheetId="165">'Sinv-0819-14'!$1:$15</definedName>
    <definedName name="_xlnm.Print_Titles" localSheetId="164">'Sinv-0819-15'!$1:$15</definedName>
    <definedName name="_xlnm.Print_Titles" localSheetId="163">'Sinv-0819-16'!$1:$15</definedName>
    <definedName name="_xlnm.Print_Titles" localSheetId="162">'Sinv-0819-17'!$1:$15</definedName>
    <definedName name="_xlnm.Print_Titles" localSheetId="161">'Sinv-0819-18'!$1:$15</definedName>
    <definedName name="_xlnm.Print_Titles" localSheetId="160">'Sinv-0819-19'!$1:$15</definedName>
    <definedName name="_xlnm.Print_Titles" localSheetId="159">'Sinv-0819-20'!$1:$15</definedName>
    <definedName name="_xlnm.Print_Titles" localSheetId="158">'Sinv-0819-21'!$1:$15</definedName>
    <definedName name="_xlnm.Print_Titles" localSheetId="308">'Sinv-0917-001'!$1:$15</definedName>
    <definedName name="_xlnm.Print_Titles" localSheetId="307">'Sinv-0917-002'!$1:$15</definedName>
    <definedName name="_xlnm.Print_Titles" localSheetId="269">'Sinv-0918-001'!$1:$15</definedName>
    <definedName name="_xlnm.Print_Titles" localSheetId="268">'Sinv-0918-002'!$1:$15</definedName>
    <definedName name="_xlnm.Print_Titles" localSheetId="267">'Sinv-0918-003'!$1:$15</definedName>
    <definedName name="_xlnm.Print_Titles" localSheetId="157">'Sinv-0919-01'!$1:$15</definedName>
    <definedName name="_xlnm.Print_Titles" localSheetId="156">'Sinv-0919-02'!$1:$15</definedName>
    <definedName name="_xlnm.Print_Titles" localSheetId="155">'Sinv-0919-03'!$1:$15</definedName>
    <definedName name="_xlnm.Print_Titles" localSheetId="154">'Sinv-0919-04'!$1:$15</definedName>
    <definedName name="_xlnm.Print_Titles" localSheetId="153">'Sinv-0919-05'!$1:$15</definedName>
    <definedName name="_xlnm.Print_Titles" localSheetId="152">'Sinv-0919-06'!$1:$15</definedName>
    <definedName name="_xlnm.Print_Titles" localSheetId="151">'Sinv-0919-07'!$1:$15</definedName>
    <definedName name="_xlnm.Print_Titles" localSheetId="150">'Sinv-0919-08'!$1:$15</definedName>
    <definedName name="_xlnm.Print_Titles" localSheetId="149">'Sinv-0919-09'!$1:$15</definedName>
    <definedName name="_xlnm.Print_Titles" localSheetId="148">'Sinv-0919-10'!$1:$15</definedName>
    <definedName name="_xlnm.Print_Titles" localSheetId="147">'Sinv-0919-11'!$1:$15</definedName>
    <definedName name="_xlnm.Print_Titles" localSheetId="146">'Sinv-0919-12'!$1:$15</definedName>
    <definedName name="_xlnm.Print_Titles" localSheetId="145">'Sinv-0919-13'!$1:$15</definedName>
    <definedName name="_xlnm.Print_Titles" localSheetId="144">'Sinv-0919-14'!$1:$15</definedName>
    <definedName name="_xlnm.Print_Titles" localSheetId="143">'Sinv-0919-15'!$1:$15</definedName>
    <definedName name="_xlnm.Print_Titles" localSheetId="142">'Sinv-0919-16'!$1:$15</definedName>
    <definedName name="_xlnm.Print_Titles" localSheetId="141">'Sinv-0919-17'!$1:$15</definedName>
    <definedName name="_xlnm.Print_Titles" localSheetId="140">'Sinv-0919-18'!$1:$15</definedName>
    <definedName name="_xlnm.Print_Titles" localSheetId="139">'Sinv-0919-19'!$1:$15</definedName>
    <definedName name="_xlnm.Print_Titles" localSheetId="138">'Sinv-0919-20'!$1:$15</definedName>
    <definedName name="_xlnm.Print_Titles" localSheetId="137">'Sinv-0919-21'!$1:$15</definedName>
    <definedName name="_xlnm.Print_Titles" localSheetId="136">'Sinv-0919-22'!$1:$15</definedName>
    <definedName name="_xlnm.Print_Titles" localSheetId="135">'Sinv-0919-23'!$1:$15</definedName>
    <definedName name="_xlnm.Print_Titles" localSheetId="134">'Sinv-0919-24'!$1:$15</definedName>
    <definedName name="_xlnm.Print_Titles" localSheetId="133">'Sinv-0919-25'!$1:$15</definedName>
    <definedName name="_xlnm.Print_Titles" localSheetId="132">'Sinv-0919-26'!$1:$15</definedName>
    <definedName name="_xlnm.Print_Titles" localSheetId="131">'Sinv-0919-27'!$1:$15</definedName>
    <definedName name="_xlnm.Print_Titles" localSheetId="130">'Sinv-0919-28'!$1:$15</definedName>
    <definedName name="_xlnm.Print_Titles" localSheetId="129">'Sinv-0919-29'!$1:$15</definedName>
    <definedName name="_xlnm.Print_Titles" localSheetId="128">'Sinv-0919-30'!$1:$15</definedName>
    <definedName name="_xlnm.Print_Titles" localSheetId="127">'Sinv-0919-31'!$1:$15</definedName>
    <definedName name="_xlnm.Print_Titles" localSheetId="126">'Sinv-0919-32'!$1:$15</definedName>
    <definedName name="_xlnm.Print_Titles" localSheetId="125">'Sinv-0919-33'!$1:$15</definedName>
    <definedName name="_xlnm.Print_Titles" localSheetId="124">'Sinv-0919-34'!$1:$15</definedName>
    <definedName name="_xlnm.Print_Titles" localSheetId="123">'Sinv-0919-35'!$1:$15</definedName>
    <definedName name="_xlnm.Print_Titles" localSheetId="122">'Sinv-0919-36'!$1:$15</definedName>
    <definedName name="_xlnm.Print_Titles" localSheetId="121">'Sinv-0919-37'!$1:$15</definedName>
    <definedName name="_xlnm.Print_Titles" localSheetId="120">'Sinv-0919-38'!$1:$15</definedName>
    <definedName name="_xlnm.Print_Titles" localSheetId="306">'Sinv-1017-001'!$1:$15</definedName>
    <definedName name="_xlnm.Print_Titles" localSheetId="305">'Sinv-1017-002'!$1:$15</definedName>
    <definedName name="_xlnm.Print_Titles" localSheetId="304">'Sinv-1017-003'!$1:$15</definedName>
    <definedName name="_xlnm.Print_Titles" localSheetId="303">'Sinv-1017-004'!$1:$15</definedName>
    <definedName name="_xlnm.Print_Titles" localSheetId="302">'Sinv-1017-005'!$1:$15</definedName>
    <definedName name="_xlnm.Print_Titles" localSheetId="301">'Sinv-1017-006'!$1:$15</definedName>
    <definedName name="_xlnm.Print_Titles" localSheetId="266">'Sinv-1018-01'!$1:$15</definedName>
    <definedName name="_xlnm.Print_Titles" localSheetId="265">'Sinv-1018-02'!$1:$15</definedName>
    <definedName name="_xlnm.Print_Titles" localSheetId="264">'Sinv-1018-03'!$1:$15</definedName>
    <definedName name="_xlnm.Print_Titles" localSheetId="263">'Sinv-1018-04'!$1:$15</definedName>
    <definedName name="_xlnm.Print_Titles" localSheetId="262">'Sinv-1018-05'!$1:$15</definedName>
    <definedName name="_xlnm.Print_Titles" localSheetId="261">'Sinv-1018-06'!$1:$15</definedName>
    <definedName name="_xlnm.Print_Titles" localSheetId="260">'Sinv-1018-07'!$1:$15</definedName>
    <definedName name="_xlnm.Print_Titles" localSheetId="259">'Sinv-1018-08'!$1:$15</definedName>
    <definedName name="_xlnm.Print_Titles" localSheetId="258">'Sinv-1018-09'!$1:$15</definedName>
    <definedName name="_xlnm.Print_Titles" localSheetId="119">'Sinv-1019-01'!$1:$15</definedName>
    <definedName name="_xlnm.Print_Titles" localSheetId="118">'Sinv-1019-02'!$1:$15</definedName>
    <definedName name="_xlnm.Print_Titles" localSheetId="117">'Sinv-1019-03'!$1:$15</definedName>
    <definedName name="_xlnm.Print_Titles" localSheetId="116">'Sinv-1019-04'!$1:$15</definedName>
    <definedName name="_xlnm.Print_Titles" localSheetId="115">'Sinv-1019-05'!$1:$15</definedName>
    <definedName name="_xlnm.Print_Titles" localSheetId="114">'Sinv-1019-06'!$1:$15</definedName>
    <definedName name="_xlnm.Print_Titles" localSheetId="113">'Sinv-1019-07'!$1:$15</definedName>
    <definedName name="_xlnm.Print_Titles" localSheetId="112">'Sinv-1019-08'!$1:$15</definedName>
    <definedName name="_xlnm.Print_Titles" localSheetId="111">'Sinv-1019-09'!$1:$15</definedName>
    <definedName name="_xlnm.Print_Titles" localSheetId="110">'Sinv-1019-10'!$1:$15</definedName>
    <definedName name="_xlnm.Print_Titles" localSheetId="109">'Sinv-1019-11'!$1:$15</definedName>
    <definedName name="_xlnm.Print_Titles" localSheetId="107">'Sinv-1019-12'!$1:$15</definedName>
    <definedName name="_xlnm.Print_Titles" localSheetId="106">'Sinv-1019-13'!$1:$15</definedName>
    <definedName name="_xlnm.Print_Titles" localSheetId="105">'Sinv-1019-14'!$1:$15</definedName>
    <definedName name="_xlnm.Print_Titles" localSheetId="104">'Sinv-1019-15'!$1:$15</definedName>
    <definedName name="_xlnm.Print_Titles" localSheetId="103">'Sinv-1019-16'!$1:$15</definedName>
    <definedName name="_xlnm.Print_Titles" localSheetId="102">'Sinv-1019-17'!$1:$15</definedName>
    <definedName name="_xlnm.Print_Titles" localSheetId="101">'Sinv-1019-18'!$1:$15</definedName>
    <definedName name="_xlnm.Print_Titles" localSheetId="100">'Sinv-1019-19'!$1:$15</definedName>
    <definedName name="_xlnm.Print_Titles" localSheetId="99">'Sinv-1019-20'!$1:$15</definedName>
    <definedName name="_xlnm.Print_Titles" localSheetId="98">'Sinv-1019-21'!$1:$15</definedName>
    <definedName name="_xlnm.Print_Titles" localSheetId="97">'Sinv-1019-22'!$1:$15</definedName>
    <definedName name="_xlnm.Print_Titles" localSheetId="96">'Sinv-1019-23'!$1:$15</definedName>
    <definedName name="_xlnm.Print_Titles" localSheetId="95">'Sinv-1019-24'!$1:$15</definedName>
    <definedName name="_xlnm.Print_Titles" localSheetId="94">'Sinv-1019-25'!$1:$15</definedName>
    <definedName name="_xlnm.Print_Titles" localSheetId="93">'Sinv-1019-26'!$1:$15</definedName>
    <definedName name="_xlnm.Print_Titles" localSheetId="92">'Sinv-1019-27'!$1:$15</definedName>
    <definedName name="_xlnm.Print_Titles" localSheetId="91">'Sinv-1019-28'!$1:$15</definedName>
    <definedName name="_xlnm.Print_Titles" localSheetId="90">'Sinv-1019-29'!$1:$15</definedName>
    <definedName name="_xlnm.Print_Titles" localSheetId="89">'Sinv-1019-30'!$1:$15</definedName>
    <definedName name="_xlnm.Print_Titles" localSheetId="88">'Sinv-1019-31'!$1:$15</definedName>
    <definedName name="_xlnm.Print_Titles" localSheetId="87">'Sinv-1019-32'!$1:$15</definedName>
    <definedName name="_xlnm.Print_Titles" localSheetId="300">'Sinv-1117-001'!$1:$15</definedName>
    <definedName name="_xlnm.Print_Titles" localSheetId="299">'Sinv-1117-002'!$1:$15</definedName>
    <definedName name="_xlnm.Print_Titles" localSheetId="298">'Sinv-1117-003'!$1:$15</definedName>
    <definedName name="_xlnm.Print_Titles" localSheetId="297">'Sinv-1117-004'!$1:$15</definedName>
    <definedName name="_xlnm.Print_Titles" localSheetId="257">'Sinv-1118-01'!$1:$15</definedName>
    <definedName name="_xlnm.Print_Titles" localSheetId="256">'Sinv-1118-02'!$1:$15</definedName>
    <definedName name="_xlnm.Print_Titles" localSheetId="255">'Sinv-1118-03'!$1:$15</definedName>
    <definedName name="_xlnm.Print_Titles" localSheetId="254">'Sinv-1118-04'!$1:$15</definedName>
    <definedName name="_xlnm.Print_Titles" localSheetId="253">'Sinv-1118-05'!$1:$15</definedName>
    <definedName name="_xlnm.Print_Titles" localSheetId="252">'Sinv-1118-06'!$1:$15</definedName>
    <definedName name="_xlnm.Print_Titles" localSheetId="86">'Sinv-1119-01'!$1:$15</definedName>
    <definedName name="_xlnm.Print_Titles" localSheetId="84">'Sinv-1119-02'!$1:$15</definedName>
    <definedName name="_xlnm.Print_Titles" localSheetId="83">'Sinv-1119-03'!$1:$15</definedName>
    <definedName name="_xlnm.Print_Titles" localSheetId="82">'Sinv-1119-04'!$1:$15</definedName>
    <definedName name="_xlnm.Print_Titles" localSheetId="81">'Sinv-1119-05'!$1:$15</definedName>
    <definedName name="_xlnm.Print_Titles" localSheetId="80">'Sinv-1119-06'!$1:$15</definedName>
    <definedName name="_xlnm.Print_Titles" localSheetId="79">'Sinv-1119-07'!$1:$15</definedName>
    <definedName name="_xlnm.Print_Titles" localSheetId="78">'Sinv-1119-08'!$1:$15</definedName>
    <definedName name="_xlnm.Print_Titles" localSheetId="77">'Sinv-1119-09'!$1:$15</definedName>
    <definedName name="_xlnm.Print_Titles" localSheetId="76">'Sinv-1119-10'!$1:$15</definedName>
    <definedName name="_xlnm.Print_Titles" localSheetId="75">'Sinv-1119-11'!$1:$15</definedName>
    <definedName name="_xlnm.Print_Titles" localSheetId="74">'Sinv-1119-12'!$1:$15</definedName>
    <definedName name="_xlnm.Print_Titles" localSheetId="73">'Sinv-1119-13'!$1:$15</definedName>
    <definedName name="_xlnm.Print_Titles" localSheetId="72">'Sinv-1119-14'!$1:$15</definedName>
    <definedName name="_xlnm.Print_Titles" localSheetId="71">'Sinv-1119-15'!$1:$15</definedName>
    <definedName name="_xlnm.Print_Titles" localSheetId="70">'Sinv-1119-16'!$1:$15</definedName>
    <definedName name="_xlnm.Print_Titles" localSheetId="69">'Sinv-1119-17'!$1:$15</definedName>
    <definedName name="_xlnm.Print_Titles" localSheetId="68">'Sinv-1119-18'!$1:$15</definedName>
    <definedName name="_xlnm.Print_Titles" localSheetId="67">'Sinv-1119-19'!$1:$15</definedName>
    <definedName name="_xlnm.Print_Titles" localSheetId="66">'Sinv-1119-20'!$1:$15</definedName>
    <definedName name="_xlnm.Print_Titles" localSheetId="65">'Sinv-1119-21'!$1:$15</definedName>
    <definedName name="_xlnm.Print_Titles" localSheetId="64">'Sinv-1119-22'!$1:$15</definedName>
    <definedName name="_xlnm.Print_Titles" localSheetId="63">'Sinv-1119-23'!$1:$15</definedName>
    <definedName name="_xlnm.Print_Titles" localSheetId="62">'Sinv-1119-24'!$1:$15</definedName>
    <definedName name="_xlnm.Print_Titles" localSheetId="61">'Sinv-1119-25'!$1:$15</definedName>
    <definedName name="_xlnm.Print_Titles" localSheetId="60">'Sinv-1119-26'!$1:$15</definedName>
    <definedName name="_xlnm.Print_Titles" localSheetId="296">'Sinv-1217-001'!$1:$15</definedName>
    <definedName name="_xlnm.Print_Titles" localSheetId="295">'Sinv-1217-002'!$1:$15</definedName>
    <definedName name="_xlnm.Print_Titles" localSheetId="294">'Sinv-1217-003'!$1:$15</definedName>
    <definedName name="_xlnm.Print_Titles" localSheetId="251">'Sinv-1218-01'!$1:$15</definedName>
    <definedName name="_xlnm.Print_Titles" localSheetId="250">'Sinv-1218-02'!$1:$15</definedName>
    <definedName name="_xlnm.Print_Titles" localSheetId="249">'Sinv-1218-03'!$1:$15</definedName>
    <definedName name="_xlnm.Print_Titles" localSheetId="59">'Sinv-1219-01'!$1:$15</definedName>
    <definedName name="_xlnm.Print_Titles" localSheetId="57">'Sinv-1219-02'!$1:$15</definedName>
    <definedName name="_xlnm.Print_Titles" localSheetId="55">'Sinv-1219-03'!$1:$15</definedName>
    <definedName name="_xlnm.Print_Titles" localSheetId="54">'Sinv-1219-04'!$1:$15</definedName>
    <definedName name="_xlnm.Print_Titles" localSheetId="53">'Sinv-1219-05'!$1:$15</definedName>
    <definedName name="_xlnm.Print_Titles" localSheetId="52">'Sinv-1219-06'!$1:$15</definedName>
    <definedName name="_xlnm.Print_Titles" localSheetId="51">'Sinv-1219-07'!$1:$15</definedName>
    <definedName name="_xlnm.Print_Titles" localSheetId="50">'Sinv-1219-08'!$1:$15</definedName>
    <definedName name="_xlnm.Print_Titles" localSheetId="49">'Sinv-1219-09'!$1:$15</definedName>
    <definedName name="_xlnm.Print_Titles" localSheetId="48">'Sinv-1219-10'!$1:$15</definedName>
    <definedName name="_xlnm.Print_Titles" localSheetId="47">'Sinv-1219-11'!$1:$15</definedName>
    <definedName name="_xlnm.Print_Titles" localSheetId="46">'Sinv-1219-12'!$1:$15</definedName>
    <definedName name="_xlnm.Print_Titles" localSheetId="45">'Sinv-1219-13'!$1:$15</definedName>
    <definedName name="_xlnm.Print_Titles" localSheetId="44">'Sinv-1219-14'!$1:$15</definedName>
    <definedName name="_xlnm.Print_Titles" localSheetId="43">'Sinv-1219-15'!$1:$15</definedName>
    <definedName name="_xlnm.Print_Titles" localSheetId="42">'Sinv-1219-16'!$1:$15</definedName>
    <definedName name="_xlnm.Print_Titles" localSheetId="41">'Sinv-1219-17'!$1:$15</definedName>
    <definedName name="_xlnm.Print_Titles" localSheetId="40">'Sinv-1219-18'!$1:$15</definedName>
    <definedName name="_xlnm.Print_Titles" localSheetId="39">'Sinv-1219-19'!$1:$15</definedName>
    <definedName name="_xlnm.Print_Titles" localSheetId="38">'Sinv-1219-20'!$1:$15</definedName>
    <definedName name="_xlnm.Print_Titles" localSheetId="37">'Sinv-1219-21'!$1:$15</definedName>
    <definedName name="_xlnm.Print_Titles" localSheetId="36">'Sinv-1219-22'!$1:$15</definedName>
    <definedName name="_xlnm.Print_Titles" localSheetId="35">'Sinv-1219-23'!$1:$15</definedName>
    <definedName name="_xlnm.Print_Titles" localSheetId="34">'Sinv-1219-24'!$1:$15</definedName>
    <definedName name="_xlnm.Print_Titles" localSheetId="33">'Sinv-1219-25'!$1:$15</definedName>
    <definedName name="_xlnm.Print_Titles" localSheetId="32">'Sinv-1219-27'!$1:$15</definedName>
    <definedName name="_xlnm.Print_Titles" localSheetId="31">'Sinv-1219-28'!$1:$15</definedName>
    <definedName name="_xlnm.Print_Titles" localSheetId="30">'Sinv-1219-29'!$1:$15</definedName>
    <definedName name="_xlnm.Print_Titles" localSheetId="29">'Sinv-1219-30'!$1:$15</definedName>
    <definedName name="_xlnm.Print_Titles" localSheetId="28">'Sinv-1219-31'!$1:$15</definedName>
    <definedName name="_xlnm.Print_Titles" localSheetId="27">'Sinv-1219-32'!$1:$15</definedName>
    <definedName name="_xlnm.Print_Titles" localSheetId="26">'Sinv-1219-33'!$1:$15</definedName>
    <definedName name="_xlnm.Print_Titles" localSheetId="25">'Sinv-1219-34'!$1:$15</definedName>
    <definedName name="_xlnm.Print_Titles" localSheetId="24">'Sinv-1219-35'!$1:$15</definedName>
    <definedName name="_xlnm.Print_Titles" localSheetId="23">'Sinv-1219-36'!$1:$15</definedName>
    <definedName name="_xlnm.Print_Titles" localSheetId="22">'Sinv-1219-37'!$1:$15</definedName>
    <definedName name="_xlnm.Print_Titles" localSheetId="21">'Sinv-1219-38'!$1:$15</definedName>
    <definedName name="_xlnm.Print_Titles" localSheetId="20">'Sinv-1219-39'!$1:$15</definedName>
    <definedName name="_xlnm.Print_Titles" localSheetId="19">'Sinv-1219-40'!$1:$15</definedName>
    <definedName name="_xlnm.Print_Titles" localSheetId="18">'Sinv-1219-41'!$1:$15</definedName>
    <definedName name="_xlnm.Print_Titles" localSheetId="17">'Sinv-1219-42'!$1:$15</definedName>
    <definedName name="_xlnm.Print_Titles" localSheetId="12">'Sinv-1219-42 (4)'!$1:$15</definedName>
    <definedName name="_xlnm.Print_Titles" localSheetId="16">'Sinv-1219-43'!$1:$15</definedName>
    <definedName name="_xlnm.Print_Titles" localSheetId="15">'Sinv-1219-44'!$1:$15</definedName>
    <definedName name="_xlnm.Print_Titles" localSheetId="8">'Sinv-1219-44 (2)'!$1:$15</definedName>
    <definedName name="_xlnm.Print_Titles" localSheetId="14">'Sinv-1219-45'!$1:$15</definedName>
    <definedName name="_xlnm.Print_Titles" localSheetId="13">'Sinv-1219-46'!$1:$15</definedName>
    <definedName name="_xlnm.Print_Titles" localSheetId="11">'Sinv-1219-47'!$1:$15</definedName>
    <definedName name="_xlnm.Print_Titles" localSheetId="10">'Sinv-1219-48'!$1:$15</definedName>
    <definedName name="_xlnm.Print_Titles" localSheetId="9">'Sinv-1219-49'!$1:$15</definedName>
    <definedName name="_xlnm.Print_Titles" localSheetId="1">'TCSAS-0123-01'!$1:$15</definedName>
    <definedName name="_xlnm.Print_Titles" localSheetId="0">'TCSAS-0123-01 (2)'!$1:$15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8" i="361" l="1"/>
  <c r="E18" i="361"/>
  <c r="H16" i="361"/>
  <c r="H18" i="361" s="1"/>
  <c r="F18" i="360"/>
  <c r="E18" i="360"/>
  <c r="G16" i="360"/>
  <c r="G18" i="360" s="1"/>
  <c r="G16" i="359"/>
  <c r="F25" i="359"/>
  <c r="E25" i="359"/>
  <c r="G20" i="359"/>
  <c r="H20" i="359" s="1"/>
  <c r="G19" i="359"/>
  <c r="H19" i="359" s="1"/>
  <c r="G18" i="359"/>
  <c r="H18" i="359" s="1"/>
  <c r="G21" i="359"/>
  <c r="H21" i="359" s="1"/>
  <c r="G17" i="359"/>
  <c r="H17" i="359" s="1"/>
  <c r="G22" i="359"/>
  <c r="H22" i="359" s="1"/>
  <c r="G23" i="359"/>
  <c r="H23" i="359" s="1"/>
  <c r="F18" i="358"/>
  <c r="E18" i="358"/>
  <c r="G16" i="358"/>
  <c r="H16" i="358" s="1"/>
  <c r="H18" i="358" s="1"/>
  <c r="G16" i="357"/>
  <c r="H16" i="357" s="1"/>
  <c r="H18" i="357" s="1"/>
  <c r="F18" i="357"/>
  <c r="E18" i="357"/>
  <c r="F18" i="356"/>
  <c r="E18" i="356"/>
  <c r="G16" i="356"/>
  <c r="G18" i="356" s="1"/>
  <c r="F18" i="355"/>
  <c r="E18" i="355"/>
  <c r="G16" i="355"/>
  <c r="H16" i="355" s="1"/>
  <c r="H18" i="355" s="1"/>
  <c r="G16" i="354"/>
  <c r="H16" i="354" s="1"/>
  <c r="H18" i="354" s="1"/>
  <c r="F18" i="354"/>
  <c r="E18" i="354"/>
  <c r="E18" i="353"/>
  <c r="G18" i="353"/>
  <c r="F18" i="353"/>
  <c r="H16" i="353"/>
  <c r="H18" i="353" s="1"/>
  <c r="R21" i="352"/>
  <c r="Q20" i="352"/>
  <c r="O20" i="352"/>
  <c r="M18" i="352"/>
  <c r="O18" i="352" s="1"/>
  <c r="D18" i="352"/>
  <c r="M17" i="352"/>
  <c r="N17" i="352" s="1"/>
  <c r="O17" i="352" s="1"/>
  <c r="H17" i="352"/>
  <c r="I17" i="352" s="1"/>
  <c r="F17" i="352"/>
  <c r="M16" i="352"/>
  <c r="N16" i="352" s="1"/>
  <c r="O16" i="352" s="1"/>
  <c r="H16" i="352"/>
  <c r="I16" i="352" s="1"/>
  <c r="F16" i="352"/>
  <c r="G16" i="352" s="1"/>
  <c r="G18" i="361" l="1"/>
  <c r="G25" i="359"/>
  <c r="H16" i="360"/>
  <c r="H18" i="360" s="1"/>
  <c r="H16" i="359"/>
  <c r="H25" i="359" s="1"/>
  <c r="G18" i="354"/>
  <c r="G18" i="357"/>
  <c r="G18" i="358"/>
  <c r="H16" i="356"/>
  <c r="H18" i="356" s="1"/>
  <c r="G18" i="355"/>
  <c r="I18" i="352"/>
  <c r="F18" i="352"/>
  <c r="G17" i="352"/>
  <c r="G18" i="352" s="1"/>
  <c r="M20" i="352"/>
  <c r="P20" i="352" s="1"/>
  <c r="R20" i="352" s="1"/>
  <c r="H16" i="351"/>
  <c r="I16" i="351" s="1"/>
  <c r="F16" i="351"/>
  <c r="G16" i="351" s="1"/>
  <c r="D19" i="351"/>
  <c r="H18" i="351"/>
  <c r="I18" i="351" s="1"/>
  <c r="F18" i="351"/>
  <c r="G18" i="351" s="1"/>
  <c r="H17" i="351"/>
  <c r="I17" i="351" s="1"/>
  <c r="F17" i="351"/>
  <c r="G17" i="351" s="1"/>
  <c r="F19" i="351" l="1"/>
  <c r="I19" i="351"/>
  <c r="G19" i="351"/>
  <c r="H20" i="350" l="1"/>
  <c r="I20" i="350" s="1"/>
  <c r="F20" i="350"/>
  <c r="G20" i="350" s="1"/>
  <c r="H19" i="350"/>
  <c r="I19" i="350" s="1"/>
  <c r="F19" i="350"/>
  <c r="G19" i="350" s="1"/>
  <c r="H18" i="350"/>
  <c r="I18" i="350" s="1"/>
  <c r="F18" i="350"/>
  <c r="G18" i="350" s="1"/>
  <c r="H17" i="350"/>
  <c r="I17" i="350" s="1"/>
  <c r="F17" i="350"/>
  <c r="G17" i="350" s="1"/>
  <c r="D21" i="350"/>
  <c r="H16" i="350"/>
  <c r="I16" i="350" s="1"/>
  <c r="F16" i="350"/>
  <c r="G16" i="350" s="1"/>
  <c r="I21" i="350" l="1"/>
  <c r="G21" i="350" l="1"/>
  <c r="F21" i="350"/>
  <c r="H19" i="349" l="1"/>
  <c r="I19" i="349" s="1"/>
  <c r="F19" i="349"/>
  <c r="G19" i="349" s="1"/>
  <c r="H18" i="349"/>
  <c r="I18" i="349" s="1"/>
  <c r="F18" i="349"/>
  <c r="G18" i="349" s="1"/>
  <c r="H20" i="349"/>
  <c r="I20" i="349" s="1"/>
  <c r="F20" i="349"/>
  <c r="G20" i="349" s="1"/>
  <c r="H17" i="349"/>
  <c r="I17" i="349" s="1"/>
  <c r="F17" i="349"/>
  <c r="G17" i="349" s="1"/>
  <c r="D24" i="349"/>
  <c r="H23" i="349"/>
  <c r="I23" i="349" s="1"/>
  <c r="F23" i="349"/>
  <c r="G23" i="349" s="1"/>
  <c r="H22" i="349"/>
  <c r="I22" i="349" s="1"/>
  <c r="F22" i="349"/>
  <c r="G22" i="349" s="1"/>
  <c r="H21" i="349"/>
  <c r="I21" i="349" s="1"/>
  <c r="F21" i="349"/>
  <c r="G21" i="349" s="1"/>
  <c r="H16" i="349"/>
  <c r="I16" i="349" s="1"/>
  <c r="F16" i="349"/>
  <c r="I24" i="349" l="1"/>
  <c r="F24" i="349"/>
  <c r="G16" i="349"/>
  <c r="G24" i="349" s="1"/>
  <c r="D17" i="348"/>
  <c r="H16" i="348"/>
  <c r="I16" i="348" s="1"/>
  <c r="I17" i="348" s="1"/>
  <c r="F16" i="348"/>
  <c r="F17" i="348" s="1"/>
  <c r="G16" i="348" l="1"/>
  <c r="G17" i="348" s="1"/>
  <c r="D231" i="347" l="1"/>
  <c r="H229" i="347"/>
  <c r="I229" i="347" s="1"/>
  <c r="F229" i="347"/>
  <c r="G229" i="347" s="1"/>
  <c r="H228" i="347"/>
  <c r="I228" i="347" s="1"/>
  <c r="F228" i="347"/>
  <c r="G228" i="347" s="1"/>
  <c r="H227" i="347"/>
  <c r="I227" i="347" s="1"/>
  <c r="F227" i="347"/>
  <c r="G227" i="347" s="1"/>
  <c r="H226" i="347"/>
  <c r="I226" i="347" s="1"/>
  <c r="F226" i="347"/>
  <c r="G226" i="347" s="1"/>
  <c r="H225" i="347"/>
  <c r="I225" i="347" s="1"/>
  <c r="F225" i="347"/>
  <c r="G225" i="347" s="1"/>
  <c r="H224" i="347"/>
  <c r="I224" i="347" s="1"/>
  <c r="F224" i="347"/>
  <c r="G224" i="347" s="1"/>
  <c r="H223" i="347"/>
  <c r="I223" i="347" s="1"/>
  <c r="F223" i="347"/>
  <c r="G223" i="347" s="1"/>
  <c r="H222" i="347"/>
  <c r="I222" i="347" s="1"/>
  <c r="F222" i="347"/>
  <c r="G222" i="347" s="1"/>
  <c r="H221" i="347"/>
  <c r="I221" i="347" s="1"/>
  <c r="F221" i="347"/>
  <c r="G221" i="347" s="1"/>
  <c r="H220" i="347"/>
  <c r="I220" i="347" s="1"/>
  <c r="F220" i="347"/>
  <c r="G220" i="347" s="1"/>
  <c r="H219" i="347"/>
  <c r="I219" i="347" s="1"/>
  <c r="F219" i="347"/>
  <c r="G219" i="347" s="1"/>
  <c r="H218" i="347"/>
  <c r="I218" i="347" s="1"/>
  <c r="F218" i="347"/>
  <c r="G218" i="347" s="1"/>
  <c r="H217" i="347"/>
  <c r="I217" i="347" s="1"/>
  <c r="F217" i="347"/>
  <c r="G217" i="347" s="1"/>
  <c r="H216" i="347"/>
  <c r="I216" i="347" s="1"/>
  <c r="F216" i="347"/>
  <c r="G216" i="347" s="1"/>
  <c r="H215" i="347"/>
  <c r="I215" i="347" s="1"/>
  <c r="F215" i="347"/>
  <c r="G215" i="347" s="1"/>
  <c r="H214" i="347"/>
  <c r="I214" i="347" s="1"/>
  <c r="F214" i="347"/>
  <c r="G214" i="347" s="1"/>
  <c r="H213" i="347"/>
  <c r="I213" i="347" s="1"/>
  <c r="F213" i="347"/>
  <c r="G213" i="347" s="1"/>
  <c r="H212" i="347"/>
  <c r="I212" i="347" s="1"/>
  <c r="F212" i="347"/>
  <c r="G212" i="347" s="1"/>
  <c r="H211" i="347"/>
  <c r="I211" i="347" s="1"/>
  <c r="F211" i="347"/>
  <c r="G211" i="347" s="1"/>
  <c r="H210" i="347"/>
  <c r="I210" i="347" s="1"/>
  <c r="F210" i="347"/>
  <c r="G210" i="347" s="1"/>
  <c r="H209" i="347"/>
  <c r="I209" i="347" s="1"/>
  <c r="F209" i="347"/>
  <c r="G209" i="347" s="1"/>
  <c r="H208" i="347"/>
  <c r="I208" i="347" s="1"/>
  <c r="F208" i="347"/>
  <c r="G208" i="347" s="1"/>
  <c r="H207" i="347"/>
  <c r="I207" i="347" s="1"/>
  <c r="F207" i="347"/>
  <c r="G207" i="347" s="1"/>
  <c r="H206" i="347"/>
  <c r="I206" i="347" s="1"/>
  <c r="F206" i="347"/>
  <c r="G206" i="347" s="1"/>
  <c r="H205" i="347"/>
  <c r="I205" i="347" s="1"/>
  <c r="F205" i="347"/>
  <c r="G205" i="347" s="1"/>
  <c r="H204" i="347"/>
  <c r="I204" i="347" s="1"/>
  <c r="F204" i="347"/>
  <c r="G204" i="347" s="1"/>
  <c r="H203" i="347"/>
  <c r="I203" i="347" s="1"/>
  <c r="F203" i="347"/>
  <c r="G203" i="347" s="1"/>
  <c r="H202" i="347"/>
  <c r="I202" i="347" s="1"/>
  <c r="F202" i="347"/>
  <c r="G202" i="347" s="1"/>
  <c r="H201" i="347"/>
  <c r="I201" i="347" s="1"/>
  <c r="F201" i="347"/>
  <c r="G201" i="347" s="1"/>
  <c r="H200" i="347"/>
  <c r="I200" i="347" s="1"/>
  <c r="F200" i="347"/>
  <c r="G200" i="347" s="1"/>
  <c r="H199" i="347"/>
  <c r="I199" i="347" s="1"/>
  <c r="F199" i="347"/>
  <c r="G199" i="347" s="1"/>
  <c r="H198" i="347"/>
  <c r="I198" i="347" s="1"/>
  <c r="F198" i="347"/>
  <c r="G198" i="347" s="1"/>
  <c r="H197" i="347"/>
  <c r="I197" i="347" s="1"/>
  <c r="F197" i="347"/>
  <c r="G197" i="347" s="1"/>
  <c r="H196" i="347"/>
  <c r="I196" i="347" s="1"/>
  <c r="F196" i="347"/>
  <c r="G196" i="347" s="1"/>
  <c r="H195" i="347"/>
  <c r="I195" i="347" s="1"/>
  <c r="F195" i="347"/>
  <c r="G195" i="347" s="1"/>
  <c r="H194" i="347"/>
  <c r="I194" i="347" s="1"/>
  <c r="F194" i="347"/>
  <c r="G194" i="347" s="1"/>
  <c r="H193" i="347"/>
  <c r="I193" i="347" s="1"/>
  <c r="F193" i="347"/>
  <c r="G193" i="347" s="1"/>
  <c r="H192" i="347"/>
  <c r="I192" i="347" s="1"/>
  <c r="F192" i="347"/>
  <c r="G192" i="347" s="1"/>
  <c r="H191" i="347"/>
  <c r="I191" i="347" s="1"/>
  <c r="F191" i="347"/>
  <c r="G191" i="347" s="1"/>
  <c r="H190" i="347"/>
  <c r="I190" i="347" s="1"/>
  <c r="F190" i="347"/>
  <c r="G190" i="347" s="1"/>
  <c r="H189" i="347"/>
  <c r="I189" i="347" s="1"/>
  <c r="F189" i="347"/>
  <c r="G189" i="347" s="1"/>
  <c r="H188" i="347"/>
  <c r="I188" i="347" s="1"/>
  <c r="F188" i="347"/>
  <c r="G188" i="347" s="1"/>
  <c r="H187" i="347"/>
  <c r="I187" i="347" s="1"/>
  <c r="F187" i="347"/>
  <c r="G187" i="347" s="1"/>
  <c r="H186" i="347"/>
  <c r="I186" i="347" s="1"/>
  <c r="F186" i="347"/>
  <c r="G186" i="347" s="1"/>
  <c r="H185" i="347"/>
  <c r="I185" i="347" s="1"/>
  <c r="F185" i="347"/>
  <c r="G185" i="347" s="1"/>
  <c r="H184" i="347"/>
  <c r="I184" i="347" s="1"/>
  <c r="F184" i="347"/>
  <c r="G184" i="347" s="1"/>
  <c r="H183" i="347"/>
  <c r="I183" i="347" s="1"/>
  <c r="F183" i="347"/>
  <c r="G183" i="347" s="1"/>
  <c r="H182" i="347"/>
  <c r="I182" i="347" s="1"/>
  <c r="F182" i="347"/>
  <c r="G182" i="347" s="1"/>
  <c r="H181" i="347"/>
  <c r="I181" i="347" s="1"/>
  <c r="F181" i="347"/>
  <c r="G181" i="347" s="1"/>
  <c r="H180" i="347"/>
  <c r="I180" i="347" s="1"/>
  <c r="F180" i="347"/>
  <c r="G180" i="347" s="1"/>
  <c r="H179" i="347"/>
  <c r="I179" i="347" s="1"/>
  <c r="F179" i="347"/>
  <c r="G179" i="347" s="1"/>
  <c r="H178" i="347"/>
  <c r="I178" i="347" s="1"/>
  <c r="F178" i="347"/>
  <c r="G178" i="347" s="1"/>
  <c r="H177" i="347"/>
  <c r="I177" i="347" s="1"/>
  <c r="F177" i="347"/>
  <c r="G177" i="347" s="1"/>
  <c r="H176" i="347"/>
  <c r="I176" i="347" s="1"/>
  <c r="F176" i="347"/>
  <c r="G176" i="347" s="1"/>
  <c r="H175" i="347"/>
  <c r="I175" i="347" s="1"/>
  <c r="F175" i="347"/>
  <c r="G175" i="347" s="1"/>
  <c r="H174" i="347"/>
  <c r="I174" i="347" s="1"/>
  <c r="F174" i="347"/>
  <c r="G174" i="347" s="1"/>
  <c r="H173" i="347"/>
  <c r="I173" i="347" s="1"/>
  <c r="F173" i="347"/>
  <c r="G173" i="347" s="1"/>
  <c r="H172" i="347"/>
  <c r="I172" i="347" s="1"/>
  <c r="F172" i="347"/>
  <c r="G172" i="347" s="1"/>
  <c r="H171" i="347"/>
  <c r="I171" i="347" s="1"/>
  <c r="F171" i="347"/>
  <c r="G171" i="347" s="1"/>
  <c r="H170" i="347"/>
  <c r="I170" i="347" s="1"/>
  <c r="F170" i="347"/>
  <c r="G170" i="347" s="1"/>
  <c r="H169" i="347"/>
  <c r="I169" i="347" s="1"/>
  <c r="F169" i="347"/>
  <c r="G169" i="347" s="1"/>
  <c r="H168" i="347"/>
  <c r="I168" i="347" s="1"/>
  <c r="F168" i="347"/>
  <c r="G168" i="347" s="1"/>
  <c r="H167" i="347"/>
  <c r="I167" i="347" s="1"/>
  <c r="F167" i="347"/>
  <c r="G167" i="347" s="1"/>
  <c r="H166" i="347"/>
  <c r="I166" i="347" s="1"/>
  <c r="F166" i="347"/>
  <c r="G166" i="347" s="1"/>
  <c r="H165" i="347"/>
  <c r="I165" i="347" s="1"/>
  <c r="F165" i="347"/>
  <c r="G165" i="347" s="1"/>
  <c r="H164" i="347"/>
  <c r="I164" i="347" s="1"/>
  <c r="F164" i="347"/>
  <c r="G164" i="347" s="1"/>
  <c r="H163" i="347"/>
  <c r="I163" i="347" s="1"/>
  <c r="F163" i="347"/>
  <c r="G163" i="347" s="1"/>
  <c r="H162" i="347"/>
  <c r="I162" i="347" s="1"/>
  <c r="F162" i="347"/>
  <c r="G162" i="347" s="1"/>
  <c r="H161" i="347"/>
  <c r="I161" i="347" s="1"/>
  <c r="F161" i="347"/>
  <c r="G161" i="347" s="1"/>
  <c r="H160" i="347"/>
  <c r="I160" i="347" s="1"/>
  <c r="F160" i="347"/>
  <c r="G160" i="347" s="1"/>
  <c r="H159" i="347"/>
  <c r="I159" i="347" s="1"/>
  <c r="F159" i="347"/>
  <c r="G159" i="347" s="1"/>
  <c r="H158" i="347"/>
  <c r="I158" i="347" s="1"/>
  <c r="F158" i="347"/>
  <c r="G158" i="347" s="1"/>
  <c r="H157" i="347"/>
  <c r="I157" i="347" s="1"/>
  <c r="F157" i="347"/>
  <c r="G157" i="347" s="1"/>
  <c r="H156" i="347"/>
  <c r="I156" i="347" s="1"/>
  <c r="F156" i="347"/>
  <c r="G156" i="347" s="1"/>
  <c r="H155" i="347"/>
  <c r="I155" i="347" s="1"/>
  <c r="F155" i="347"/>
  <c r="G155" i="347" s="1"/>
  <c r="H154" i="347"/>
  <c r="I154" i="347" s="1"/>
  <c r="F154" i="347"/>
  <c r="G154" i="347" s="1"/>
  <c r="H153" i="347"/>
  <c r="I153" i="347" s="1"/>
  <c r="F153" i="347"/>
  <c r="G153" i="347" s="1"/>
  <c r="H152" i="347"/>
  <c r="I152" i="347" s="1"/>
  <c r="F152" i="347"/>
  <c r="G152" i="347" s="1"/>
  <c r="H151" i="347"/>
  <c r="I151" i="347" s="1"/>
  <c r="F151" i="347"/>
  <c r="G151" i="347" s="1"/>
  <c r="H150" i="347"/>
  <c r="I150" i="347" s="1"/>
  <c r="F150" i="347"/>
  <c r="G150" i="347" s="1"/>
  <c r="H149" i="347"/>
  <c r="I149" i="347" s="1"/>
  <c r="F149" i="347"/>
  <c r="G149" i="347" s="1"/>
  <c r="H148" i="347"/>
  <c r="I148" i="347" s="1"/>
  <c r="F148" i="347"/>
  <c r="G148" i="347" s="1"/>
  <c r="H147" i="347"/>
  <c r="I147" i="347" s="1"/>
  <c r="F147" i="347"/>
  <c r="G147" i="347" s="1"/>
  <c r="H146" i="347"/>
  <c r="I146" i="347" s="1"/>
  <c r="F146" i="347"/>
  <c r="G146" i="347" s="1"/>
  <c r="H145" i="347"/>
  <c r="I145" i="347" s="1"/>
  <c r="F145" i="347"/>
  <c r="G145" i="347" s="1"/>
  <c r="H144" i="347"/>
  <c r="I144" i="347" s="1"/>
  <c r="F144" i="347"/>
  <c r="G144" i="347" s="1"/>
  <c r="H143" i="347"/>
  <c r="I143" i="347" s="1"/>
  <c r="F143" i="347"/>
  <c r="G143" i="347" s="1"/>
  <c r="H142" i="347"/>
  <c r="I142" i="347" s="1"/>
  <c r="F142" i="347"/>
  <c r="G142" i="347" s="1"/>
  <c r="H141" i="347"/>
  <c r="I141" i="347" s="1"/>
  <c r="F141" i="347"/>
  <c r="G141" i="347" s="1"/>
  <c r="H140" i="347"/>
  <c r="I140" i="347" s="1"/>
  <c r="F140" i="347"/>
  <c r="G140" i="347" s="1"/>
  <c r="H139" i="347"/>
  <c r="I139" i="347" s="1"/>
  <c r="F139" i="347"/>
  <c r="G139" i="347" s="1"/>
  <c r="H138" i="347"/>
  <c r="I138" i="347" s="1"/>
  <c r="F138" i="347"/>
  <c r="G138" i="347" s="1"/>
  <c r="H137" i="347"/>
  <c r="I137" i="347" s="1"/>
  <c r="F137" i="347"/>
  <c r="G137" i="347" s="1"/>
  <c r="H136" i="347"/>
  <c r="I136" i="347" s="1"/>
  <c r="F136" i="347"/>
  <c r="G136" i="347" s="1"/>
  <c r="H135" i="347"/>
  <c r="I135" i="347" s="1"/>
  <c r="F135" i="347"/>
  <c r="G135" i="347" s="1"/>
  <c r="H134" i="347"/>
  <c r="I134" i="347" s="1"/>
  <c r="F134" i="347"/>
  <c r="G134" i="347" s="1"/>
  <c r="H133" i="347"/>
  <c r="I133" i="347" s="1"/>
  <c r="F133" i="347"/>
  <c r="G133" i="347" s="1"/>
  <c r="H132" i="347"/>
  <c r="I132" i="347" s="1"/>
  <c r="F132" i="347"/>
  <c r="G132" i="347" s="1"/>
  <c r="H131" i="347"/>
  <c r="I131" i="347" s="1"/>
  <c r="F131" i="347"/>
  <c r="G131" i="347" s="1"/>
  <c r="H130" i="347"/>
  <c r="I130" i="347" s="1"/>
  <c r="F130" i="347"/>
  <c r="G130" i="347" s="1"/>
  <c r="H129" i="347"/>
  <c r="I129" i="347" s="1"/>
  <c r="F129" i="347"/>
  <c r="G129" i="347" s="1"/>
  <c r="H128" i="347"/>
  <c r="I128" i="347" s="1"/>
  <c r="F128" i="347"/>
  <c r="G128" i="347" s="1"/>
  <c r="H127" i="347"/>
  <c r="I127" i="347" s="1"/>
  <c r="F127" i="347"/>
  <c r="G127" i="347" s="1"/>
  <c r="H126" i="347"/>
  <c r="I126" i="347" s="1"/>
  <c r="F126" i="347"/>
  <c r="G126" i="347" s="1"/>
  <c r="H125" i="347"/>
  <c r="I125" i="347" s="1"/>
  <c r="F125" i="347"/>
  <c r="G125" i="347" s="1"/>
  <c r="H124" i="347"/>
  <c r="I124" i="347" s="1"/>
  <c r="F124" i="347"/>
  <c r="G124" i="347" s="1"/>
  <c r="H123" i="347"/>
  <c r="I123" i="347" s="1"/>
  <c r="F123" i="347"/>
  <c r="G123" i="347" s="1"/>
  <c r="H122" i="347"/>
  <c r="I122" i="347" s="1"/>
  <c r="F122" i="347"/>
  <c r="G122" i="347" s="1"/>
  <c r="H121" i="347"/>
  <c r="I121" i="347" s="1"/>
  <c r="F121" i="347"/>
  <c r="G121" i="347" s="1"/>
  <c r="H120" i="347"/>
  <c r="I120" i="347" s="1"/>
  <c r="F120" i="347"/>
  <c r="G120" i="347" s="1"/>
  <c r="H119" i="347"/>
  <c r="I119" i="347" s="1"/>
  <c r="F119" i="347"/>
  <c r="G119" i="347" s="1"/>
  <c r="H118" i="347"/>
  <c r="I118" i="347" s="1"/>
  <c r="F118" i="347"/>
  <c r="G118" i="347" s="1"/>
  <c r="H117" i="347"/>
  <c r="I117" i="347" s="1"/>
  <c r="F117" i="347"/>
  <c r="G117" i="347" s="1"/>
  <c r="H116" i="347"/>
  <c r="I116" i="347" s="1"/>
  <c r="F116" i="347"/>
  <c r="G116" i="347" s="1"/>
  <c r="H115" i="347"/>
  <c r="I115" i="347" s="1"/>
  <c r="F115" i="347"/>
  <c r="G115" i="347" s="1"/>
  <c r="H114" i="347"/>
  <c r="I114" i="347" s="1"/>
  <c r="F114" i="347"/>
  <c r="G114" i="347" s="1"/>
  <c r="H113" i="347"/>
  <c r="I113" i="347" s="1"/>
  <c r="F113" i="347"/>
  <c r="G113" i="347" s="1"/>
  <c r="H112" i="347"/>
  <c r="I112" i="347" s="1"/>
  <c r="F112" i="347"/>
  <c r="G112" i="347" s="1"/>
  <c r="H111" i="347"/>
  <c r="I111" i="347" s="1"/>
  <c r="F111" i="347"/>
  <c r="G111" i="347" s="1"/>
  <c r="H110" i="347"/>
  <c r="I110" i="347" s="1"/>
  <c r="F110" i="347"/>
  <c r="G110" i="347" s="1"/>
  <c r="H109" i="347"/>
  <c r="I109" i="347" s="1"/>
  <c r="F109" i="347"/>
  <c r="G109" i="347" s="1"/>
  <c r="H108" i="347"/>
  <c r="I108" i="347" s="1"/>
  <c r="F108" i="347"/>
  <c r="G108" i="347" s="1"/>
  <c r="H107" i="347"/>
  <c r="I107" i="347" s="1"/>
  <c r="F107" i="347"/>
  <c r="G107" i="347" s="1"/>
  <c r="H106" i="347"/>
  <c r="I106" i="347" s="1"/>
  <c r="F106" i="347"/>
  <c r="G106" i="347" s="1"/>
  <c r="H105" i="347"/>
  <c r="I105" i="347" s="1"/>
  <c r="F105" i="347"/>
  <c r="G105" i="347" s="1"/>
  <c r="H104" i="347"/>
  <c r="I104" i="347" s="1"/>
  <c r="F104" i="347"/>
  <c r="G104" i="347" s="1"/>
  <c r="H103" i="347"/>
  <c r="I103" i="347" s="1"/>
  <c r="F103" i="347"/>
  <c r="G103" i="347" s="1"/>
  <c r="H102" i="347"/>
  <c r="I102" i="347" s="1"/>
  <c r="F102" i="347"/>
  <c r="G102" i="347" s="1"/>
  <c r="H101" i="347"/>
  <c r="I101" i="347" s="1"/>
  <c r="F101" i="347"/>
  <c r="G101" i="347" s="1"/>
  <c r="H100" i="347"/>
  <c r="I100" i="347" s="1"/>
  <c r="F100" i="347"/>
  <c r="G100" i="347" s="1"/>
  <c r="H99" i="347"/>
  <c r="I99" i="347" s="1"/>
  <c r="F99" i="347"/>
  <c r="G99" i="347" s="1"/>
  <c r="H98" i="347"/>
  <c r="I98" i="347" s="1"/>
  <c r="F98" i="347"/>
  <c r="G98" i="347" s="1"/>
  <c r="H97" i="347"/>
  <c r="I97" i="347" s="1"/>
  <c r="F97" i="347"/>
  <c r="G97" i="347" s="1"/>
  <c r="H96" i="347"/>
  <c r="I96" i="347" s="1"/>
  <c r="F96" i="347"/>
  <c r="G96" i="347" s="1"/>
  <c r="H95" i="347"/>
  <c r="I95" i="347" s="1"/>
  <c r="F95" i="347"/>
  <c r="G95" i="347" s="1"/>
  <c r="H94" i="347"/>
  <c r="I94" i="347" s="1"/>
  <c r="F94" i="347"/>
  <c r="G94" i="347" s="1"/>
  <c r="H93" i="347"/>
  <c r="I93" i="347" s="1"/>
  <c r="F93" i="347"/>
  <c r="G93" i="347" s="1"/>
  <c r="H92" i="347"/>
  <c r="I92" i="347" s="1"/>
  <c r="F92" i="347"/>
  <c r="G92" i="347" s="1"/>
  <c r="H91" i="347"/>
  <c r="I91" i="347" s="1"/>
  <c r="F91" i="347"/>
  <c r="G91" i="347" s="1"/>
  <c r="H90" i="347"/>
  <c r="I90" i="347" s="1"/>
  <c r="F90" i="347"/>
  <c r="G90" i="347" s="1"/>
  <c r="H89" i="347"/>
  <c r="I89" i="347" s="1"/>
  <c r="F89" i="347"/>
  <c r="G89" i="347" s="1"/>
  <c r="H88" i="347"/>
  <c r="I88" i="347" s="1"/>
  <c r="F88" i="347"/>
  <c r="G88" i="347" s="1"/>
  <c r="H87" i="347"/>
  <c r="I87" i="347" s="1"/>
  <c r="F87" i="347"/>
  <c r="G87" i="347" s="1"/>
  <c r="H86" i="347"/>
  <c r="I86" i="347" s="1"/>
  <c r="F86" i="347"/>
  <c r="G86" i="347" s="1"/>
  <c r="H85" i="347"/>
  <c r="I85" i="347" s="1"/>
  <c r="F85" i="347"/>
  <c r="G85" i="347" s="1"/>
  <c r="H84" i="347"/>
  <c r="I84" i="347" s="1"/>
  <c r="F84" i="347"/>
  <c r="G84" i="347" s="1"/>
  <c r="H83" i="347"/>
  <c r="I83" i="347" s="1"/>
  <c r="F83" i="347"/>
  <c r="G83" i="347" s="1"/>
  <c r="H82" i="347"/>
  <c r="I82" i="347" s="1"/>
  <c r="F82" i="347"/>
  <c r="G82" i="347" s="1"/>
  <c r="H81" i="347"/>
  <c r="I81" i="347" s="1"/>
  <c r="F81" i="347"/>
  <c r="G81" i="347" s="1"/>
  <c r="H80" i="347"/>
  <c r="I80" i="347" s="1"/>
  <c r="F80" i="347"/>
  <c r="G80" i="347" s="1"/>
  <c r="H79" i="347"/>
  <c r="I79" i="347" s="1"/>
  <c r="F79" i="347"/>
  <c r="G79" i="347" s="1"/>
  <c r="H78" i="347"/>
  <c r="I78" i="347" s="1"/>
  <c r="F78" i="347"/>
  <c r="G78" i="347" s="1"/>
  <c r="H77" i="347"/>
  <c r="I77" i="347" s="1"/>
  <c r="F77" i="347"/>
  <c r="G77" i="347" s="1"/>
  <c r="H76" i="347"/>
  <c r="I76" i="347" s="1"/>
  <c r="F76" i="347"/>
  <c r="G76" i="347" s="1"/>
  <c r="H75" i="347"/>
  <c r="I75" i="347" s="1"/>
  <c r="F75" i="347"/>
  <c r="G75" i="347" s="1"/>
  <c r="H74" i="347"/>
  <c r="I74" i="347" s="1"/>
  <c r="F74" i="347"/>
  <c r="G74" i="347" s="1"/>
  <c r="H73" i="347"/>
  <c r="I73" i="347" s="1"/>
  <c r="F73" i="347"/>
  <c r="G73" i="347" s="1"/>
  <c r="H72" i="347"/>
  <c r="I72" i="347" s="1"/>
  <c r="F72" i="347"/>
  <c r="G72" i="347" s="1"/>
  <c r="H71" i="347"/>
  <c r="I71" i="347" s="1"/>
  <c r="F71" i="347"/>
  <c r="G71" i="347" s="1"/>
  <c r="H70" i="347"/>
  <c r="I70" i="347" s="1"/>
  <c r="F70" i="347"/>
  <c r="G70" i="347" s="1"/>
  <c r="H69" i="347"/>
  <c r="I69" i="347" s="1"/>
  <c r="F69" i="347"/>
  <c r="G69" i="347" s="1"/>
  <c r="H68" i="347"/>
  <c r="I68" i="347" s="1"/>
  <c r="F68" i="347"/>
  <c r="G68" i="347" s="1"/>
  <c r="H67" i="347"/>
  <c r="I67" i="347" s="1"/>
  <c r="F67" i="347"/>
  <c r="G67" i="347" s="1"/>
  <c r="H66" i="347"/>
  <c r="I66" i="347" s="1"/>
  <c r="F66" i="347"/>
  <c r="G66" i="347" s="1"/>
  <c r="H65" i="347"/>
  <c r="I65" i="347" s="1"/>
  <c r="F65" i="347"/>
  <c r="G65" i="347" s="1"/>
  <c r="H64" i="347"/>
  <c r="I64" i="347" s="1"/>
  <c r="F64" i="347"/>
  <c r="G64" i="347" s="1"/>
  <c r="H63" i="347"/>
  <c r="I63" i="347" s="1"/>
  <c r="F63" i="347"/>
  <c r="G63" i="347" s="1"/>
  <c r="H62" i="347"/>
  <c r="I62" i="347" s="1"/>
  <c r="F62" i="347"/>
  <c r="G62" i="347" s="1"/>
  <c r="H61" i="347"/>
  <c r="I61" i="347" s="1"/>
  <c r="F61" i="347"/>
  <c r="G61" i="347" s="1"/>
  <c r="H60" i="347"/>
  <c r="I60" i="347" s="1"/>
  <c r="F60" i="347"/>
  <c r="G60" i="347" s="1"/>
  <c r="H59" i="347"/>
  <c r="I59" i="347" s="1"/>
  <c r="F59" i="347"/>
  <c r="G59" i="347" s="1"/>
  <c r="H58" i="347"/>
  <c r="I58" i="347" s="1"/>
  <c r="F58" i="347"/>
  <c r="G58" i="347" s="1"/>
  <c r="H57" i="347"/>
  <c r="I57" i="347" s="1"/>
  <c r="F57" i="347"/>
  <c r="G57" i="347" s="1"/>
  <c r="H56" i="347"/>
  <c r="I56" i="347" s="1"/>
  <c r="F56" i="347"/>
  <c r="G56" i="347" s="1"/>
  <c r="H55" i="347"/>
  <c r="I55" i="347" s="1"/>
  <c r="F55" i="347"/>
  <c r="G55" i="347" s="1"/>
  <c r="H54" i="347"/>
  <c r="I54" i="347" s="1"/>
  <c r="F54" i="347"/>
  <c r="G54" i="347" s="1"/>
  <c r="H53" i="347"/>
  <c r="I53" i="347" s="1"/>
  <c r="F53" i="347"/>
  <c r="G53" i="347" s="1"/>
  <c r="H52" i="347"/>
  <c r="I52" i="347" s="1"/>
  <c r="F52" i="347"/>
  <c r="G52" i="347" s="1"/>
  <c r="H51" i="347"/>
  <c r="I51" i="347" s="1"/>
  <c r="F51" i="347"/>
  <c r="G51" i="347" s="1"/>
  <c r="H50" i="347"/>
  <c r="I50" i="347" s="1"/>
  <c r="F50" i="347"/>
  <c r="G50" i="347" s="1"/>
  <c r="H49" i="347"/>
  <c r="I49" i="347" s="1"/>
  <c r="F49" i="347"/>
  <c r="G49" i="347" s="1"/>
  <c r="H48" i="347"/>
  <c r="I48" i="347" s="1"/>
  <c r="F48" i="347"/>
  <c r="G48" i="347" s="1"/>
  <c r="H47" i="347"/>
  <c r="I47" i="347" s="1"/>
  <c r="F47" i="347"/>
  <c r="G47" i="347" s="1"/>
  <c r="H46" i="347"/>
  <c r="I46" i="347" s="1"/>
  <c r="F46" i="347"/>
  <c r="G46" i="347" s="1"/>
  <c r="H45" i="347"/>
  <c r="I45" i="347" s="1"/>
  <c r="F45" i="347"/>
  <c r="G45" i="347" s="1"/>
  <c r="H44" i="347"/>
  <c r="I44" i="347" s="1"/>
  <c r="F44" i="347"/>
  <c r="G44" i="347" s="1"/>
  <c r="H43" i="347"/>
  <c r="I43" i="347" s="1"/>
  <c r="F43" i="347"/>
  <c r="G43" i="347" s="1"/>
  <c r="H42" i="347"/>
  <c r="I42" i="347" s="1"/>
  <c r="F42" i="347"/>
  <c r="G42" i="347" s="1"/>
  <c r="H41" i="347"/>
  <c r="I41" i="347" s="1"/>
  <c r="F41" i="347"/>
  <c r="G41" i="347" s="1"/>
  <c r="H40" i="347"/>
  <c r="I40" i="347" s="1"/>
  <c r="F40" i="347"/>
  <c r="G40" i="347" s="1"/>
  <c r="H39" i="347"/>
  <c r="I39" i="347" s="1"/>
  <c r="F39" i="347"/>
  <c r="G39" i="347" s="1"/>
  <c r="H38" i="347"/>
  <c r="I38" i="347" s="1"/>
  <c r="F38" i="347"/>
  <c r="G38" i="347" s="1"/>
  <c r="H37" i="347"/>
  <c r="I37" i="347" s="1"/>
  <c r="F37" i="347"/>
  <c r="G37" i="347" s="1"/>
  <c r="H36" i="347"/>
  <c r="I36" i="347" s="1"/>
  <c r="F36" i="347"/>
  <c r="G36" i="347" s="1"/>
  <c r="H35" i="347"/>
  <c r="I35" i="347" s="1"/>
  <c r="F35" i="347"/>
  <c r="G35" i="347" s="1"/>
  <c r="H34" i="347"/>
  <c r="I34" i="347" s="1"/>
  <c r="F34" i="347"/>
  <c r="G34" i="347" s="1"/>
  <c r="H33" i="347"/>
  <c r="I33" i="347" s="1"/>
  <c r="F33" i="347"/>
  <c r="G33" i="347" s="1"/>
  <c r="H32" i="347"/>
  <c r="I32" i="347" s="1"/>
  <c r="F32" i="347"/>
  <c r="G32" i="347" s="1"/>
  <c r="H31" i="347"/>
  <c r="I31" i="347" s="1"/>
  <c r="F31" i="347"/>
  <c r="G31" i="347" s="1"/>
  <c r="H30" i="347"/>
  <c r="I30" i="347" s="1"/>
  <c r="F30" i="347"/>
  <c r="G30" i="347" s="1"/>
  <c r="H29" i="347"/>
  <c r="I29" i="347" s="1"/>
  <c r="F29" i="347"/>
  <c r="G29" i="347" s="1"/>
  <c r="H28" i="347"/>
  <c r="I28" i="347" s="1"/>
  <c r="F28" i="347"/>
  <c r="G28" i="347" s="1"/>
  <c r="H27" i="347"/>
  <c r="I27" i="347" s="1"/>
  <c r="F27" i="347"/>
  <c r="G27" i="347" s="1"/>
  <c r="H26" i="347"/>
  <c r="I26" i="347" s="1"/>
  <c r="F26" i="347"/>
  <c r="G26" i="347" s="1"/>
  <c r="H25" i="347"/>
  <c r="I25" i="347" s="1"/>
  <c r="F25" i="347"/>
  <c r="G25" i="347" s="1"/>
  <c r="H24" i="347"/>
  <c r="I24" i="347" s="1"/>
  <c r="F24" i="347"/>
  <c r="G24" i="347" s="1"/>
  <c r="H23" i="347"/>
  <c r="I23" i="347" s="1"/>
  <c r="F23" i="347"/>
  <c r="G23" i="347" s="1"/>
  <c r="H22" i="347"/>
  <c r="I22" i="347" s="1"/>
  <c r="F22" i="347"/>
  <c r="G22" i="347" s="1"/>
  <c r="H21" i="347"/>
  <c r="I21" i="347" s="1"/>
  <c r="F21" i="347"/>
  <c r="G21" i="347" s="1"/>
  <c r="H20" i="347"/>
  <c r="I20" i="347" s="1"/>
  <c r="F20" i="347"/>
  <c r="G20" i="347" s="1"/>
  <c r="H19" i="347"/>
  <c r="I19" i="347" s="1"/>
  <c r="F19" i="347"/>
  <c r="G19" i="347" s="1"/>
  <c r="H18" i="347"/>
  <c r="I18" i="347" s="1"/>
  <c r="F18" i="347"/>
  <c r="G18" i="347" s="1"/>
  <c r="H17" i="347"/>
  <c r="I17" i="347" s="1"/>
  <c r="F17" i="347"/>
  <c r="G17" i="347" s="1"/>
  <c r="H16" i="347"/>
  <c r="I16" i="347" s="1"/>
  <c r="F16" i="347"/>
  <c r="D24" i="346"/>
  <c r="H22" i="346"/>
  <c r="I22" i="346" s="1"/>
  <c r="F22" i="346"/>
  <c r="G22" i="346" s="1"/>
  <c r="H21" i="346"/>
  <c r="I21" i="346" s="1"/>
  <c r="F21" i="346"/>
  <c r="G21" i="346" s="1"/>
  <c r="H20" i="346"/>
  <c r="I20" i="346" s="1"/>
  <c r="F20" i="346"/>
  <c r="G20" i="346" s="1"/>
  <c r="H19" i="346"/>
  <c r="I19" i="346" s="1"/>
  <c r="F19" i="346"/>
  <c r="G19" i="346" s="1"/>
  <c r="H18" i="346"/>
  <c r="I18" i="346" s="1"/>
  <c r="F18" i="346"/>
  <c r="G18" i="346" s="1"/>
  <c r="H17" i="346"/>
  <c r="I17" i="346" s="1"/>
  <c r="F17" i="346"/>
  <c r="G17" i="346" s="1"/>
  <c r="H16" i="346"/>
  <c r="I16" i="346" s="1"/>
  <c r="F16" i="346"/>
  <c r="G16" i="346" s="1"/>
  <c r="D21" i="345"/>
  <c r="H19" i="345"/>
  <c r="I19" i="345" s="1"/>
  <c r="F19" i="345"/>
  <c r="G19" i="345" s="1"/>
  <c r="H18" i="345"/>
  <c r="I18" i="345" s="1"/>
  <c r="F18" i="345"/>
  <c r="G18" i="345" s="1"/>
  <c r="H17" i="345"/>
  <c r="I17" i="345" s="1"/>
  <c r="F17" i="345"/>
  <c r="G17" i="345" s="1"/>
  <c r="H16" i="345"/>
  <c r="I16" i="345" s="1"/>
  <c r="F16" i="345"/>
  <c r="G16" i="345" s="1"/>
  <c r="D32" i="344"/>
  <c r="H30" i="344"/>
  <c r="I30" i="344" s="1"/>
  <c r="F30" i="344"/>
  <c r="G30" i="344" s="1"/>
  <c r="H29" i="344"/>
  <c r="I29" i="344" s="1"/>
  <c r="F29" i="344"/>
  <c r="G29" i="344" s="1"/>
  <c r="H28" i="344"/>
  <c r="I28" i="344" s="1"/>
  <c r="F28" i="344"/>
  <c r="G28" i="344" s="1"/>
  <c r="H27" i="344"/>
  <c r="I27" i="344" s="1"/>
  <c r="F27" i="344"/>
  <c r="G27" i="344" s="1"/>
  <c r="H26" i="344"/>
  <c r="I26" i="344" s="1"/>
  <c r="F26" i="344"/>
  <c r="G26" i="344" s="1"/>
  <c r="H25" i="344"/>
  <c r="I25" i="344" s="1"/>
  <c r="F25" i="344"/>
  <c r="G25" i="344" s="1"/>
  <c r="H24" i="344"/>
  <c r="I24" i="344" s="1"/>
  <c r="F24" i="344"/>
  <c r="G24" i="344" s="1"/>
  <c r="H23" i="344"/>
  <c r="I23" i="344" s="1"/>
  <c r="F23" i="344"/>
  <c r="G23" i="344" s="1"/>
  <c r="H22" i="344"/>
  <c r="I22" i="344" s="1"/>
  <c r="F22" i="344"/>
  <c r="G22" i="344" s="1"/>
  <c r="H21" i="344"/>
  <c r="I21" i="344" s="1"/>
  <c r="F21" i="344"/>
  <c r="G21" i="344" s="1"/>
  <c r="H20" i="344"/>
  <c r="I20" i="344" s="1"/>
  <c r="F20" i="344"/>
  <c r="G20" i="344" s="1"/>
  <c r="H19" i="344"/>
  <c r="I19" i="344" s="1"/>
  <c r="F19" i="344"/>
  <c r="G19" i="344" s="1"/>
  <c r="H18" i="344"/>
  <c r="I18" i="344" s="1"/>
  <c r="F18" i="344"/>
  <c r="G18" i="344" s="1"/>
  <c r="H17" i="344"/>
  <c r="I17" i="344" s="1"/>
  <c r="F17" i="344"/>
  <c r="G17" i="344" s="1"/>
  <c r="H16" i="344"/>
  <c r="I16" i="344" s="1"/>
  <c r="F16" i="344"/>
  <c r="G16" i="344" s="1"/>
  <c r="D28" i="343"/>
  <c r="H26" i="343"/>
  <c r="I26" i="343" s="1"/>
  <c r="F26" i="343"/>
  <c r="G26" i="343" s="1"/>
  <c r="H25" i="343"/>
  <c r="I25" i="343" s="1"/>
  <c r="F25" i="343"/>
  <c r="G25" i="343" s="1"/>
  <c r="H24" i="343"/>
  <c r="I24" i="343" s="1"/>
  <c r="F24" i="343"/>
  <c r="G24" i="343" s="1"/>
  <c r="H23" i="343"/>
  <c r="I23" i="343" s="1"/>
  <c r="F23" i="343"/>
  <c r="G23" i="343" s="1"/>
  <c r="H22" i="343"/>
  <c r="I22" i="343" s="1"/>
  <c r="F22" i="343"/>
  <c r="G22" i="343" s="1"/>
  <c r="H21" i="343"/>
  <c r="I21" i="343" s="1"/>
  <c r="F21" i="343"/>
  <c r="G21" i="343" s="1"/>
  <c r="H20" i="343"/>
  <c r="I20" i="343" s="1"/>
  <c r="F20" i="343"/>
  <c r="G20" i="343" s="1"/>
  <c r="H19" i="343"/>
  <c r="I19" i="343" s="1"/>
  <c r="F19" i="343"/>
  <c r="G19" i="343" s="1"/>
  <c r="H18" i="343"/>
  <c r="I18" i="343" s="1"/>
  <c r="F18" i="343"/>
  <c r="G18" i="343" s="1"/>
  <c r="H17" i="343"/>
  <c r="I17" i="343" s="1"/>
  <c r="F17" i="343"/>
  <c r="G17" i="343" s="1"/>
  <c r="H16" i="343"/>
  <c r="I16" i="343" s="1"/>
  <c r="F16" i="343"/>
  <c r="G16" i="343" s="1"/>
  <c r="D45" i="342"/>
  <c r="H43" i="342"/>
  <c r="I43" i="342" s="1"/>
  <c r="F43" i="342"/>
  <c r="G43" i="342" s="1"/>
  <c r="H42" i="342"/>
  <c r="I42" i="342" s="1"/>
  <c r="F42" i="342"/>
  <c r="G42" i="342" s="1"/>
  <c r="H41" i="342"/>
  <c r="I41" i="342" s="1"/>
  <c r="F41" i="342"/>
  <c r="G41" i="342" s="1"/>
  <c r="H40" i="342"/>
  <c r="I40" i="342" s="1"/>
  <c r="F40" i="342"/>
  <c r="G40" i="342" s="1"/>
  <c r="H39" i="342"/>
  <c r="I39" i="342" s="1"/>
  <c r="F39" i="342"/>
  <c r="G39" i="342" s="1"/>
  <c r="H38" i="342"/>
  <c r="I38" i="342" s="1"/>
  <c r="F38" i="342"/>
  <c r="G38" i="342" s="1"/>
  <c r="H37" i="342"/>
  <c r="I37" i="342" s="1"/>
  <c r="F37" i="342"/>
  <c r="G37" i="342" s="1"/>
  <c r="H36" i="342"/>
  <c r="I36" i="342" s="1"/>
  <c r="F36" i="342"/>
  <c r="G36" i="342" s="1"/>
  <c r="H35" i="342"/>
  <c r="I35" i="342" s="1"/>
  <c r="F35" i="342"/>
  <c r="G35" i="342" s="1"/>
  <c r="H34" i="342"/>
  <c r="I34" i="342" s="1"/>
  <c r="F34" i="342"/>
  <c r="G34" i="342" s="1"/>
  <c r="H33" i="342"/>
  <c r="I33" i="342" s="1"/>
  <c r="F33" i="342"/>
  <c r="G33" i="342" s="1"/>
  <c r="H32" i="342"/>
  <c r="I32" i="342" s="1"/>
  <c r="F32" i="342"/>
  <c r="G32" i="342" s="1"/>
  <c r="H31" i="342"/>
  <c r="I31" i="342" s="1"/>
  <c r="F31" i="342"/>
  <c r="G31" i="342" s="1"/>
  <c r="H30" i="342"/>
  <c r="I30" i="342" s="1"/>
  <c r="F30" i="342"/>
  <c r="G30" i="342" s="1"/>
  <c r="H29" i="342"/>
  <c r="I29" i="342" s="1"/>
  <c r="F29" i="342"/>
  <c r="G29" i="342" s="1"/>
  <c r="H28" i="342"/>
  <c r="I28" i="342" s="1"/>
  <c r="F28" i="342"/>
  <c r="G28" i="342" s="1"/>
  <c r="H27" i="342"/>
  <c r="I27" i="342" s="1"/>
  <c r="F27" i="342"/>
  <c r="G27" i="342" s="1"/>
  <c r="H26" i="342"/>
  <c r="I26" i="342" s="1"/>
  <c r="F26" i="342"/>
  <c r="G26" i="342" s="1"/>
  <c r="H25" i="342"/>
  <c r="I25" i="342" s="1"/>
  <c r="F25" i="342"/>
  <c r="G25" i="342" s="1"/>
  <c r="H24" i="342"/>
  <c r="I24" i="342" s="1"/>
  <c r="F24" i="342"/>
  <c r="G24" i="342" s="1"/>
  <c r="H23" i="342"/>
  <c r="I23" i="342" s="1"/>
  <c r="F23" i="342"/>
  <c r="G23" i="342" s="1"/>
  <c r="H22" i="342"/>
  <c r="I22" i="342" s="1"/>
  <c r="F22" i="342"/>
  <c r="G22" i="342" s="1"/>
  <c r="H21" i="342"/>
  <c r="I21" i="342" s="1"/>
  <c r="F21" i="342"/>
  <c r="G21" i="342" s="1"/>
  <c r="H20" i="342"/>
  <c r="I20" i="342" s="1"/>
  <c r="F20" i="342"/>
  <c r="G20" i="342" s="1"/>
  <c r="H19" i="342"/>
  <c r="I19" i="342" s="1"/>
  <c r="F19" i="342"/>
  <c r="G19" i="342" s="1"/>
  <c r="H18" i="342"/>
  <c r="I18" i="342" s="1"/>
  <c r="F18" i="342"/>
  <c r="G18" i="342" s="1"/>
  <c r="H17" i="342"/>
  <c r="I17" i="342" s="1"/>
  <c r="F17" i="342"/>
  <c r="G17" i="342" s="1"/>
  <c r="H16" i="342"/>
  <c r="I16" i="342" s="1"/>
  <c r="F16" i="342"/>
  <c r="G16" i="342" s="1"/>
  <c r="D39" i="341"/>
  <c r="H37" i="341"/>
  <c r="I37" i="341" s="1"/>
  <c r="F37" i="341"/>
  <c r="G37" i="341" s="1"/>
  <c r="H36" i="341"/>
  <c r="I36" i="341" s="1"/>
  <c r="F36" i="341"/>
  <c r="G36" i="341" s="1"/>
  <c r="H35" i="341"/>
  <c r="I35" i="341" s="1"/>
  <c r="F35" i="341"/>
  <c r="G35" i="341" s="1"/>
  <c r="H34" i="341"/>
  <c r="I34" i="341" s="1"/>
  <c r="F34" i="341"/>
  <c r="G34" i="341" s="1"/>
  <c r="H33" i="341"/>
  <c r="I33" i="341" s="1"/>
  <c r="F33" i="341"/>
  <c r="G33" i="341" s="1"/>
  <c r="H32" i="341"/>
  <c r="I32" i="341" s="1"/>
  <c r="F32" i="341"/>
  <c r="G32" i="341" s="1"/>
  <c r="H31" i="341"/>
  <c r="I31" i="341" s="1"/>
  <c r="F31" i="341"/>
  <c r="G31" i="341" s="1"/>
  <c r="H30" i="341"/>
  <c r="I30" i="341" s="1"/>
  <c r="F30" i="341"/>
  <c r="G30" i="341" s="1"/>
  <c r="H29" i="341"/>
  <c r="I29" i="341" s="1"/>
  <c r="F29" i="341"/>
  <c r="G29" i="341" s="1"/>
  <c r="H28" i="341"/>
  <c r="I28" i="341" s="1"/>
  <c r="F28" i="341"/>
  <c r="G28" i="341" s="1"/>
  <c r="H27" i="341"/>
  <c r="I27" i="341" s="1"/>
  <c r="F27" i="341"/>
  <c r="G27" i="341" s="1"/>
  <c r="H26" i="341"/>
  <c r="I26" i="341" s="1"/>
  <c r="F26" i="341"/>
  <c r="G26" i="341" s="1"/>
  <c r="H25" i="341"/>
  <c r="I25" i="341" s="1"/>
  <c r="F25" i="341"/>
  <c r="G25" i="341" s="1"/>
  <c r="H24" i="341"/>
  <c r="I24" i="341" s="1"/>
  <c r="F24" i="341"/>
  <c r="G24" i="341" s="1"/>
  <c r="H23" i="341"/>
  <c r="I23" i="341" s="1"/>
  <c r="F23" i="341"/>
  <c r="G23" i="341" s="1"/>
  <c r="H22" i="341"/>
  <c r="I22" i="341" s="1"/>
  <c r="F22" i="341"/>
  <c r="G22" i="341" s="1"/>
  <c r="H21" i="341"/>
  <c r="I21" i="341" s="1"/>
  <c r="F21" i="341"/>
  <c r="G21" i="341" s="1"/>
  <c r="H20" i="341"/>
  <c r="I20" i="341" s="1"/>
  <c r="F20" i="341"/>
  <c r="G20" i="341" s="1"/>
  <c r="H19" i="341"/>
  <c r="I19" i="341" s="1"/>
  <c r="F19" i="341"/>
  <c r="G19" i="341" s="1"/>
  <c r="H18" i="341"/>
  <c r="I18" i="341" s="1"/>
  <c r="F18" i="341"/>
  <c r="G18" i="341" s="1"/>
  <c r="H17" i="341"/>
  <c r="I17" i="341" s="1"/>
  <c r="F17" i="341"/>
  <c r="G17" i="341" s="1"/>
  <c r="H16" i="341"/>
  <c r="I16" i="341" s="1"/>
  <c r="F16" i="341"/>
  <c r="G16" i="341" s="1"/>
  <c r="D29" i="340"/>
  <c r="H27" i="340"/>
  <c r="I27" i="340" s="1"/>
  <c r="F27" i="340"/>
  <c r="G27" i="340" s="1"/>
  <c r="H26" i="340"/>
  <c r="I26" i="340" s="1"/>
  <c r="F26" i="340"/>
  <c r="G26" i="340" s="1"/>
  <c r="H25" i="340"/>
  <c r="I25" i="340" s="1"/>
  <c r="F25" i="340"/>
  <c r="G25" i="340" s="1"/>
  <c r="H24" i="340"/>
  <c r="I24" i="340" s="1"/>
  <c r="F24" i="340"/>
  <c r="G24" i="340" s="1"/>
  <c r="H23" i="340"/>
  <c r="I23" i="340" s="1"/>
  <c r="F23" i="340"/>
  <c r="G23" i="340" s="1"/>
  <c r="H22" i="340"/>
  <c r="I22" i="340" s="1"/>
  <c r="F22" i="340"/>
  <c r="G22" i="340" s="1"/>
  <c r="H21" i="340"/>
  <c r="I21" i="340" s="1"/>
  <c r="F21" i="340"/>
  <c r="G21" i="340" s="1"/>
  <c r="H20" i="340"/>
  <c r="I20" i="340" s="1"/>
  <c r="F20" i="340"/>
  <c r="G20" i="340" s="1"/>
  <c r="H19" i="340"/>
  <c r="I19" i="340" s="1"/>
  <c r="F19" i="340"/>
  <c r="G19" i="340" s="1"/>
  <c r="H18" i="340"/>
  <c r="I18" i="340" s="1"/>
  <c r="F18" i="340"/>
  <c r="G18" i="340" s="1"/>
  <c r="H17" i="340"/>
  <c r="I17" i="340" s="1"/>
  <c r="F17" i="340"/>
  <c r="G17" i="340" s="1"/>
  <c r="H16" i="340"/>
  <c r="I16" i="340" s="1"/>
  <c r="F16" i="340"/>
  <c r="G16" i="340" s="1"/>
  <c r="D31" i="339"/>
  <c r="H29" i="339"/>
  <c r="I29" i="339" s="1"/>
  <c r="F29" i="339"/>
  <c r="G29" i="339" s="1"/>
  <c r="H28" i="339"/>
  <c r="I28" i="339" s="1"/>
  <c r="F28" i="339"/>
  <c r="G28" i="339" s="1"/>
  <c r="H27" i="339"/>
  <c r="I27" i="339" s="1"/>
  <c r="F27" i="339"/>
  <c r="G27" i="339" s="1"/>
  <c r="H26" i="339"/>
  <c r="I26" i="339" s="1"/>
  <c r="F26" i="339"/>
  <c r="G26" i="339" s="1"/>
  <c r="H25" i="339"/>
  <c r="I25" i="339" s="1"/>
  <c r="F25" i="339"/>
  <c r="G25" i="339" s="1"/>
  <c r="H24" i="339"/>
  <c r="I24" i="339" s="1"/>
  <c r="F24" i="339"/>
  <c r="G24" i="339" s="1"/>
  <c r="H23" i="339"/>
  <c r="I23" i="339" s="1"/>
  <c r="F23" i="339"/>
  <c r="G23" i="339" s="1"/>
  <c r="H22" i="339"/>
  <c r="I22" i="339" s="1"/>
  <c r="F22" i="339"/>
  <c r="G22" i="339" s="1"/>
  <c r="H21" i="339"/>
  <c r="I21" i="339" s="1"/>
  <c r="F21" i="339"/>
  <c r="G21" i="339" s="1"/>
  <c r="H20" i="339"/>
  <c r="I20" i="339" s="1"/>
  <c r="F20" i="339"/>
  <c r="G20" i="339" s="1"/>
  <c r="H19" i="339"/>
  <c r="I19" i="339" s="1"/>
  <c r="F19" i="339"/>
  <c r="G19" i="339" s="1"/>
  <c r="H18" i="339"/>
  <c r="I18" i="339" s="1"/>
  <c r="F18" i="339"/>
  <c r="G18" i="339" s="1"/>
  <c r="H17" i="339"/>
  <c r="I17" i="339" s="1"/>
  <c r="F17" i="339"/>
  <c r="G17" i="339" s="1"/>
  <c r="H16" i="339"/>
  <c r="I16" i="339" s="1"/>
  <c r="F16" i="339"/>
  <c r="G16" i="339" s="1"/>
  <c r="D39" i="338"/>
  <c r="H37" i="338"/>
  <c r="I37" i="338" s="1"/>
  <c r="F37" i="338"/>
  <c r="G37" i="338" s="1"/>
  <c r="H36" i="338"/>
  <c r="I36" i="338" s="1"/>
  <c r="F36" i="338"/>
  <c r="G36" i="338" s="1"/>
  <c r="H35" i="338"/>
  <c r="I35" i="338" s="1"/>
  <c r="F35" i="338"/>
  <c r="G35" i="338" s="1"/>
  <c r="H34" i="338"/>
  <c r="I34" i="338" s="1"/>
  <c r="F34" i="338"/>
  <c r="G34" i="338" s="1"/>
  <c r="H33" i="338"/>
  <c r="I33" i="338" s="1"/>
  <c r="F33" i="338"/>
  <c r="G33" i="338" s="1"/>
  <c r="H32" i="338"/>
  <c r="I32" i="338" s="1"/>
  <c r="F32" i="338"/>
  <c r="G32" i="338" s="1"/>
  <c r="H31" i="338"/>
  <c r="I31" i="338" s="1"/>
  <c r="F31" i="338"/>
  <c r="G31" i="338" s="1"/>
  <c r="H30" i="338"/>
  <c r="I30" i="338" s="1"/>
  <c r="F30" i="338"/>
  <c r="G30" i="338" s="1"/>
  <c r="H29" i="338"/>
  <c r="I29" i="338" s="1"/>
  <c r="F29" i="338"/>
  <c r="G29" i="338" s="1"/>
  <c r="H28" i="338"/>
  <c r="I28" i="338" s="1"/>
  <c r="F28" i="338"/>
  <c r="G28" i="338" s="1"/>
  <c r="H27" i="338"/>
  <c r="I27" i="338" s="1"/>
  <c r="F27" i="338"/>
  <c r="G27" i="338" s="1"/>
  <c r="H26" i="338"/>
  <c r="I26" i="338" s="1"/>
  <c r="F26" i="338"/>
  <c r="G26" i="338" s="1"/>
  <c r="H25" i="338"/>
  <c r="I25" i="338" s="1"/>
  <c r="F25" i="338"/>
  <c r="G25" i="338" s="1"/>
  <c r="H24" i="338"/>
  <c r="I24" i="338" s="1"/>
  <c r="F24" i="338"/>
  <c r="G24" i="338" s="1"/>
  <c r="H23" i="338"/>
  <c r="I23" i="338" s="1"/>
  <c r="F23" i="338"/>
  <c r="G23" i="338" s="1"/>
  <c r="H22" i="338"/>
  <c r="I22" i="338" s="1"/>
  <c r="F22" i="338"/>
  <c r="G22" i="338" s="1"/>
  <c r="H21" i="338"/>
  <c r="I21" i="338" s="1"/>
  <c r="F21" i="338"/>
  <c r="G21" i="338" s="1"/>
  <c r="H20" i="338"/>
  <c r="I20" i="338" s="1"/>
  <c r="F20" i="338"/>
  <c r="G20" i="338" s="1"/>
  <c r="H19" i="338"/>
  <c r="I19" i="338" s="1"/>
  <c r="F19" i="338"/>
  <c r="G19" i="338" s="1"/>
  <c r="H18" i="338"/>
  <c r="I18" i="338" s="1"/>
  <c r="F18" i="338"/>
  <c r="G18" i="338" s="1"/>
  <c r="H17" i="338"/>
  <c r="I17" i="338" s="1"/>
  <c r="F17" i="338"/>
  <c r="G17" i="338" s="1"/>
  <c r="H16" i="338"/>
  <c r="I16" i="338" s="1"/>
  <c r="F16" i="338"/>
  <c r="G16" i="338" s="1"/>
  <c r="D22" i="337"/>
  <c r="H20" i="337"/>
  <c r="I20" i="337" s="1"/>
  <c r="F20" i="337"/>
  <c r="G20" i="337" s="1"/>
  <c r="H19" i="337"/>
  <c r="I19" i="337" s="1"/>
  <c r="F19" i="337"/>
  <c r="G19" i="337" s="1"/>
  <c r="H18" i="337"/>
  <c r="I18" i="337" s="1"/>
  <c r="F18" i="337"/>
  <c r="G18" i="337" s="1"/>
  <c r="H17" i="337"/>
  <c r="I17" i="337" s="1"/>
  <c r="F17" i="337"/>
  <c r="G17" i="337" s="1"/>
  <c r="H16" i="337"/>
  <c r="I16" i="337" s="1"/>
  <c r="F16" i="337"/>
  <c r="G16" i="337" s="1"/>
  <c r="D22" i="336"/>
  <c r="H20" i="336"/>
  <c r="I20" i="336" s="1"/>
  <c r="F20" i="336"/>
  <c r="G20" i="336" s="1"/>
  <c r="H19" i="336"/>
  <c r="I19" i="336" s="1"/>
  <c r="F19" i="336"/>
  <c r="G19" i="336" s="1"/>
  <c r="H18" i="336"/>
  <c r="I18" i="336" s="1"/>
  <c r="F18" i="336"/>
  <c r="G18" i="336" s="1"/>
  <c r="H17" i="336"/>
  <c r="I17" i="336" s="1"/>
  <c r="F17" i="336"/>
  <c r="G17" i="336" s="1"/>
  <c r="H16" i="336"/>
  <c r="I16" i="336" s="1"/>
  <c r="F16" i="336"/>
  <c r="G16" i="336" s="1"/>
  <c r="D25" i="335"/>
  <c r="H23" i="335"/>
  <c r="I23" i="335" s="1"/>
  <c r="F23" i="335"/>
  <c r="G23" i="335" s="1"/>
  <c r="H22" i="335"/>
  <c r="I22" i="335" s="1"/>
  <c r="F22" i="335"/>
  <c r="G22" i="335" s="1"/>
  <c r="H21" i="335"/>
  <c r="I21" i="335" s="1"/>
  <c r="F21" i="335"/>
  <c r="G21" i="335" s="1"/>
  <c r="H20" i="335"/>
  <c r="I20" i="335" s="1"/>
  <c r="F20" i="335"/>
  <c r="G20" i="335" s="1"/>
  <c r="H19" i="335"/>
  <c r="I19" i="335" s="1"/>
  <c r="F19" i="335"/>
  <c r="G19" i="335" s="1"/>
  <c r="H18" i="335"/>
  <c r="I18" i="335" s="1"/>
  <c r="F18" i="335"/>
  <c r="G18" i="335" s="1"/>
  <c r="H17" i="335"/>
  <c r="I17" i="335" s="1"/>
  <c r="F17" i="335"/>
  <c r="G17" i="335" s="1"/>
  <c r="H16" i="335"/>
  <c r="I16" i="335" s="1"/>
  <c r="F16" i="335"/>
  <c r="G16" i="335" s="1"/>
  <c r="D28" i="334"/>
  <c r="H26" i="334"/>
  <c r="I26" i="334" s="1"/>
  <c r="F26" i="334"/>
  <c r="G26" i="334" s="1"/>
  <c r="H25" i="334"/>
  <c r="I25" i="334" s="1"/>
  <c r="F25" i="334"/>
  <c r="G25" i="334" s="1"/>
  <c r="H24" i="334"/>
  <c r="I24" i="334" s="1"/>
  <c r="F24" i="334"/>
  <c r="G24" i="334" s="1"/>
  <c r="H23" i="334"/>
  <c r="I23" i="334" s="1"/>
  <c r="F23" i="334"/>
  <c r="G23" i="334" s="1"/>
  <c r="H22" i="334"/>
  <c r="I22" i="334" s="1"/>
  <c r="F22" i="334"/>
  <c r="G22" i="334" s="1"/>
  <c r="H21" i="334"/>
  <c r="I21" i="334" s="1"/>
  <c r="F21" i="334"/>
  <c r="G21" i="334" s="1"/>
  <c r="H20" i="334"/>
  <c r="I20" i="334" s="1"/>
  <c r="F20" i="334"/>
  <c r="G20" i="334" s="1"/>
  <c r="H19" i="334"/>
  <c r="I19" i="334" s="1"/>
  <c r="F19" i="334"/>
  <c r="G19" i="334" s="1"/>
  <c r="H18" i="334"/>
  <c r="I18" i="334" s="1"/>
  <c r="F18" i="334"/>
  <c r="G18" i="334" s="1"/>
  <c r="H17" i="334"/>
  <c r="I17" i="334" s="1"/>
  <c r="F17" i="334"/>
  <c r="G17" i="334" s="1"/>
  <c r="H16" i="334"/>
  <c r="I16" i="334" s="1"/>
  <c r="F16" i="334"/>
  <c r="G16" i="334" s="1"/>
  <c r="D39" i="333"/>
  <c r="H37" i="333"/>
  <c r="I37" i="333" s="1"/>
  <c r="F37" i="333"/>
  <c r="G37" i="333" s="1"/>
  <c r="H36" i="333"/>
  <c r="I36" i="333" s="1"/>
  <c r="F36" i="333"/>
  <c r="G36" i="333" s="1"/>
  <c r="H35" i="333"/>
  <c r="I35" i="333" s="1"/>
  <c r="F35" i="333"/>
  <c r="G35" i="333" s="1"/>
  <c r="H34" i="333"/>
  <c r="I34" i="333" s="1"/>
  <c r="F34" i="333"/>
  <c r="G34" i="333" s="1"/>
  <c r="H33" i="333"/>
  <c r="I33" i="333" s="1"/>
  <c r="F33" i="333"/>
  <c r="G33" i="333" s="1"/>
  <c r="H32" i="333"/>
  <c r="I32" i="333" s="1"/>
  <c r="F32" i="333"/>
  <c r="G32" i="333" s="1"/>
  <c r="H31" i="333"/>
  <c r="I31" i="333" s="1"/>
  <c r="F31" i="333"/>
  <c r="G31" i="333" s="1"/>
  <c r="H30" i="333"/>
  <c r="I30" i="333" s="1"/>
  <c r="F30" i="333"/>
  <c r="G30" i="333" s="1"/>
  <c r="H29" i="333"/>
  <c r="I29" i="333" s="1"/>
  <c r="F29" i="333"/>
  <c r="G29" i="333" s="1"/>
  <c r="H28" i="333"/>
  <c r="I28" i="333" s="1"/>
  <c r="F28" i="333"/>
  <c r="G28" i="333" s="1"/>
  <c r="H27" i="333"/>
  <c r="I27" i="333" s="1"/>
  <c r="F27" i="333"/>
  <c r="G27" i="333" s="1"/>
  <c r="H26" i="333"/>
  <c r="I26" i="333" s="1"/>
  <c r="F26" i="333"/>
  <c r="G26" i="333" s="1"/>
  <c r="H25" i="333"/>
  <c r="I25" i="333" s="1"/>
  <c r="F25" i="333"/>
  <c r="G25" i="333" s="1"/>
  <c r="H24" i="333"/>
  <c r="I24" i="333" s="1"/>
  <c r="F24" i="333"/>
  <c r="G24" i="333" s="1"/>
  <c r="H23" i="333"/>
  <c r="I23" i="333" s="1"/>
  <c r="F23" i="333"/>
  <c r="G23" i="333" s="1"/>
  <c r="H22" i="333"/>
  <c r="I22" i="333" s="1"/>
  <c r="F22" i="333"/>
  <c r="G22" i="333" s="1"/>
  <c r="H21" i="333"/>
  <c r="I21" i="333" s="1"/>
  <c r="F21" i="333"/>
  <c r="G21" i="333" s="1"/>
  <c r="H20" i="333"/>
  <c r="I20" i="333" s="1"/>
  <c r="F20" i="333"/>
  <c r="G20" i="333" s="1"/>
  <c r="H19" i="333"/>
  <c r="I19" i="333" s="1"/>
  <c r="F19" i="333"/>
  <c r="G19" i="333" s="1"/>
  <c r="H18" i="333"/>
  <c r="I18" i="333" s="1"/>
  <c r="F18" i="333"/>
  <c r="G18" i="333" s="1"/>
  <c r="H17" i="333"/>
  <c r="I17" i="333" s="1"/>
  <c r="F17" i="333"/>
  <c r="G17" i="333" s="1"/>
  <c r="H16" i="333"/>
  <c r="I16" i="333" s="1"/>
  <c r="F16" i="333"/>
  <c r="G16" i="333" s="1"/>
  <c r="D20" i="332"/>
  <c r="H18" i="332"/>
  <c r="I18" i="332" s="1"/>
  <c r="F18" i="332"/>
  <c r="G18" i="332" s="1"/>
  <c r="H17" i="332"/>
  <c r="I17" i="332" s="1"/>
  <c r="F17" i="332"/>
  <c r="G17" i="332" s="1"/>
  <c r="H16" i="332"/>
  <c r="I16" i="332" s="1"/>
  <c r="F16" i="332"/>
  <c r="G16" i="332" s="1"/>
  <c r="D41" i="331"/>
  <c r="H39" i="331"/>
  <c r="I39" i="331" s="1"/>
  <c r="F39" i="331"/>
  <c r="G39" i="331" s="1"/>
  <c r="H38" i="331"/>
  <c r="I38" i="331" s="1"/>
  <c r="F38" i="331"/>
  <c r="G38" i="331" s="1"/>
  <c r="H37" i="331"/>
  <c r="I37" i="331" s="1"/>
  <c r="F37" i="331"/>
  <c r="G37" i="331" s="1"/>
  <c r="H36" i="331"/>
  <c r="I36" i="331" s="1"/>
  <c r="F36" i="331"/>
  <c r="G36" i="331" s="1"/>
  <c r="H35" i="331"/>
  <c r="I35" i="331" s="1"/>
  <c r="F35" i="331"/>
  <c r="G35" i="331" s="1"/>
  <c r="H34" i="331"/>
  <c r="I34" i="331" s="1"/>
  <c r="F34" i="331"/>
  <c r="G34" i="331" s="1"/>
  <c r="H33" i="331"/>
  <c r="I33" i="331" s="1"/>
  <c r="F33" i="331"/>
  <c r="G33" i="331" s="1"/>
  <c r="H32" i="331"/>
  <c r="I32" i="331" s="1"/>
  <c r="F32" i="331"/>
  <c r="G32" i="331" s="1"/>
  <c r="H31" i="331"/>
  <c r="I31" i="331" s="1"/>
  <c r="F31" i="331"/>
  <c r="G31" i="331" s="1"/>
  <c r="H30" i="331"/>
  <c r="I30" i="331" s="1"/>
  <c r="F30" i="331"/>
  <c r="G30" i="331" s="1"/>
  <c r="H29" i="331"/>
  <c r="I29" i="331" s="1"/>
  <c r="F29" i="331"/>
  <c r="G29" i="331" s="1"/>
  <c r="H28" i="331"/>
  <c r="I28" i="331" s="1"/>
  <c r="F28" i="331"/>
  <c r="G28" i="331" s="1"/>
  <c r="H27" i="331"/>
  <c r="I27" i="331" s="1"/>
  <c r="F27" i="331"/>
  <c r="G27" i="331" s="1"/>
  <c r="H26" i="331"/>
  <c r="I26" i="331" s="1"/>
  <c r="F26" i="331"/>
  <c r="G26" i="331" s="1"/>
  <c r="H25" i="331"/>
  <c r="I25" i="331" s="1"/>
  <c r="F25" i="331"/>
  <c r="G25" i="331" s="1"/>
  <c r="H24" i="331"/>
  <c r="I24" i="331" s="1"/>
  <c r="F24" i="331"/>
  <c r="G24" i="331" s="1"/>
  <c r="H23" i="331"/>
  <c r="I23" i="331" s="1"/>
  <c r="F23" i="331"/>
  <c r="G23" i="331" s="1"/>
  <c r="H22" i="331"/>
  <c r="I22" i="331" s="1"/>
  <c r="F22" i="331"/>
  <c r="G22" i="331" s="1"/>
  <c r="H21" i="331"/>
  <c r="I21" i="331" s="1"/>
  <c r="F21" i="331"/>
  <c r="G21" i="331" s="1"/>
  <c r="H20" i="331"/>
  <c r="I20" i="331" s="1"/>
  <c r="F20" i="331"/>
  <c r="G20" i="331" s="1"/>
  <c r="H19" i="331"/>
  <c r="I19" i="331" s="1"/>
  <c r="F19" i="331"/>
  <c r="G19" i="331" s="1"/>
  <c r="H18" i="331"/>
  <c r="I18" i="331" s="1"/>
  <c r="F18" i="331"/>
  <c r="G18" i="331" s="1"/>
  <c r="H17" i="331"/>
  <c r="I17" i="331" s="1"/>
  <c r="F17" i="331"/>
  <c r="G17" i="331" s="1"/>
  <c r="H16" i="331"/>
  <c r="I16" i="331" s="1"/>
  <c r="F16" i="331"/>
  <c r="G16" i="331" s="1"/>
  <c r="D18" i="330"/>
  <c r="H16" i="330"/>
  <c r="I16" i="330" s="1"/>
  <c r="F16" i="330"/>
  <c r="G16" i="330" s="1"/>
  <c r="F231" i="347" l="1"/>
  <c r="G24" i="346"/>
  <c r="F24" i="346"/>
  <c r="I231" i="347"/>
  <c r="G16" i="347"/>
  <c r="G231" i="347" s="1"/>
  <c r="I21" i="345"/>
  <c r="I24" i="346"/>
  <c r="F21" i="345"/>
  <c r="G21" i="345"/>
  <c r="F32" i="344"/>
  <c r="G32" i="344"/>
  <c r="I32" i="344"/>
  <c r="F45" i="342"/>
  <c r="F28" i="343"/>
  <c r="G28" i="343"/>
  <c r="I28" i="343"/>
  <c r="I45" i="342"/>
  <c r="G45" i="342"/>
  <c r="F39" i="341"/>
  <c r="I39" i="341"/>
  <c r="G39" i="341"/>
  <c r="F39" i="338"/>
  <c r="G29" i="340"/>
  <c r="I29" i="340"/>
  <c r="F29" i="340"/>
  <c r="I31" i="339"/>
  <c r="I39" i="338"/>
  <c r="F31" i="339"/>
  <c r="G31" i="339"/>
  <c r="F22" i="337"/>
  <c r="G39" i="338"/>
  <c r="G22" i="337"/>
  <c r="I22" i="337"/>
  <c r="F22" i="336"/>
  <c r="G22" i="336"/>
  <c r="I22" i="336"/>
  <c r="G28" i="334"/>
  <c r="F25" i="335"/>
  <c r="G25" i="335"/>
  <c r="I25" i="335"/>
  <c r="F28" i="334"/>
  <c r="I28" i="334"/>
  <c r="F39" i="333"/>
  <c r="I39" i="333"/>
  <c r="G39" i="333"/>
  <c r="F20" i="332"/>
  <c r="I41" i="331"/>
  <c r="G20" i="332"/>
  <c r="I20" i="332"/>
  <c r="G41" i="331"/>
  <c r="F41" i="331"/>
  <c r="F18" i="330"/>
  <c r="G18" i="330" l="1"/>
  <c r="I18" i="330"/>
  <c r="H18" i="329"/>
  <c r="I18" i="329" s="1"/>
  <c r="F18" i="329"/>
  <c r="G18" i="329" s="1"/>
  <c r="H16" i="329"/>
  <c r="I16" i="329" s="1"/>
  <c r="D20" i="329"/>
  <c r="H19" i="329"/>
  <c r="I19" i="329" s="1"/>
  <c r="F19" i="329"/>
  <c r="G19" i="329" s="1"/>
  <c r="H17" i="329"/>
  <c r="I17" i="329" s="1"/>
  <c r="F17" i="329"/>
  <c r="G17" i="329" s="1"/>
  <c r="F16" i="329"/>
  <c r="G16" i="329" s="1"/>
  <c r="G20" i="329" l="1"/>
  <c r="I20" i="329"/>
  <c r="F20" i="329"/>
  <c r="D17" i="327"/>
  <c r="H16" i="327"/>
  <c r="I16" i="327" s="1"/>
  <c r="I17" i="327" s="1"/>
  <c r="F16" i="327"/>
  <c r="F17" i="327" s="1"/>
  <c r="G16" i="327" l="1"/>
  <c r="G17" i="327" s="1"/>
  <c r="R21" i="326" l="1"/>
  <c r="Q20" i="326"/>
  <c r="O20" i="326"/>
  <c r="M18" i="326"/>
  <c r="M20" i="326" s="1"/>
  <c r="D18" i="326"/>
  <c r="M17" i="326"/>
  <c r="N17" i="326" s="1"/>
  <c r="O17" i="326" s="1"/>
  <c r="H17" i="326"/>
  <c r="I17" i="326" s="1"/>
  <c r="F17" i="326"/>
  <c r="G17" i="326" s="1"/>
  <c r="M16" i="326"/>
  <c r="N16" i="326" s="1"/>
  <c r="O16" i="326" s="1"/>
  <c r="H16" i="326"/>
  <c r="I16" i="326" s="1"/>
  <c r="F16" i="326"/>
  <c r="G16" i="326" s="1"/>
  <c r="I18" i="326" l="1"/>
  <c r="G18" i="326"/>
  <c r="P20" i="326"/>
  <c r="R20" i="326" s="1"/>
  <c r="O18" i="326"/>
  <c r="F18" i="326"/>
  <c r="R21" i="325"/>
  <c r="Q20" i="325"/>
  <c r="O20" i="325"/>
  <c r="M18" i="325"/>
  <c r="M20" i="325" s="1"/>
  <c r="D18" i="325"/>
  <c r="M17" i="325"/>
  <c r="N17" i="325" s="1"/>
  <c r="O17" i="325" s="1"/>
  <c r="H17" i="325"/>
  <c r="I17" i="325" s="1"/>
  <c r="F17" i="325"/>
  <c r="G17" i="325" s="1"/>
  <c r="M16" i="325"/>
  <c r="N16" i="325" s="1"/>
  <c r="O16" i="325" s="1"/>
  <c r="H16" i="325"/>
  <c r="I16" i="325" s="1"/>
  <c r="F16" i="325"/>
  <c r="G16" i="325" s="1"/>
  <c r="R21" i="324"/>
  <c r="Q20" i="324"/>
  <c r="O20" i="324"/>
  <c r="M18" i="324"/>
  <c r="M20" i="324" s="1"/>
  <c r="D18" i="324"/>
  <c r="M17" i="324"/>
  <c r="N17" i="324" s="1"/>
  <c r="O17" i="324" s="1"/>
  <c r="H17" i="324"/>
  <c r="I17" i="324" s="1"/>
  <c r="F17" i="324"/>
  <c r="G17" i="324" s="1"/>
  <c r="M16" i="324"/>
  <c r="N16" i="324" s="1"/>
  <c r="O16" i="324" s="1"/>
  <c r="H16" i="324"/>
  <c r="I16" i="324" s="1"/>
  <c r="F16" i="324"/>
  <c r="I18" i="325" l="1"/>
  <c r="P20" i="325"/>
  <c r="R20" i="325" s="1"/>
  <c r="G18" i="325"/>
  <c r="P20" i="324"/>
  <c r="R20" i="324" s="1"/>
  <c r="F18" i="324"/>
  <c r="F18" i="325"/>
  <c r="O18" i="325"/>
  <c r="I18" i="324"/>
  <c r="G16" i="324"/>
  <c r="G18" i="324" s="1"/>
  <c r="O18" i="324"/>
  <c r="H17" i="323"/>
  <c r="I17" i="323" s="1"/>
  <c r="F17" i="323"/>
  <c r="G17" i="323" s="1"/>
  <c r="H18" i="323"/>
  <c r="I18" i="323" s="1"/>
  <c r="F18" i="323"/>
  <c r="G18" i="323" s="1"/>
  <c r="D20" i="323"/>
  <c r="H16" i="323"/>
  <c r="I16" i="323" s="1"/>
  <c r="F16" i="323"/>
  <c r="F20" i="323" l="1"/>
  <c r="I20" i="323"/>
  <c r="G16" i="323"/>
  <c r="G20" i="323" s="1"/>
  <c r="D18" i="322"/>
  <c r="E17" i="322"/>
  <c r="F17" i="322" s="1"/>
  <c r="G17" i="322" s="1"/>
  <c r="H16" i="322"/>
  <c r="I16" i="322" s="1"/>
  <c r="F16" i="322"/>
  <c r="F18" i="322" l="1"/>
  <c r="H17" i="322"/>
  <c r="I17" i="322" s="1"/>
  <c r="I18" i="322" s="1"/>
  <c r="G16" i="322"/>
  <c r="G18" i="322" s="1"/>
  <c r="A17" i="213" l="1"/>
  <c r="A18" i="213" s="1"/>
  <c r="A19" i="213" s="1"/>
  <c r="A20" i="213" s="1"/>
  <c r="A21" i="213" s="1"/>
  <c r="A22" i="213" s="1"/>
  <c r="A23" i="213" s="1"/>
  <c r="A24" i="213" s="1"/>
  <c r="A25" i="213" s="1"/>
  <c r="A26" i="213" s="1"/>
  <c r="A27" i="213" s="1"/>
  <c r="A28" i="213" s="1"/>
  <c r="A29" i="213" s="1"/>
  <c r="A30" i="213" s="1"/>
  <c r="A31" i="213" s="1"/>
  <c r="A32" i="213" s="1"/>
  <c r="A33" i="213" s="1"/>
  <c r="A34" i="213" s="1"/>
  <c r="A35" i="213" s="1"/>
  <c r="A36" i="213" s="1"/>
  <c r="A37" i="213" s="1"/>
  <c r="A38" i="213" s="1"/>
  <c r="A39" i="213" s="1"/>
  <c r="A40" i="213" s="1"/>
  <c r="A41" i="213" s="1"/>
  <c r="A42" i="213" s="1"/>
  <c r="A43" i="213" s="1"/>
  <c r="A44" i="213" s="1"/>
  <c r="A45" i="213" s="1"/>
  <c r="A46" i="213" s="1"/>
  <c r="A47" i="213" s="1"/>
  <c r="A48" i="213" s="1"/>
  <c r="A49" i="213" s="1"/>
  <c r="A50" i="213" s="1"/>
  <c r="A51" i="213" s="1"/>
  <c r="A52" i="213" s="1"/>
  <c r="A53" i="213" s="1"/>
  <c r="A54" i="213" s="1"/>
  <c r="A55" i="213" s="1"/>
  <c r="A56" i="213" s="1"/>
  <c r="A57" i="213" s="1"/>
  <c r="A58" i="213" s="1"/>
  <c r="A59" i="213" s="1"/>
  <c r="A60" i="213" s="1"/>
  <c r="A61" i="213" s="1"/>
  <c r="A62" i="213" s="1"/>
  <c r="A63" i="213" s="1"/>
  <c r="A64" i="213" s="1"/>
  <c r="A65" i="213" s="1"/>
  <c r="A66" i="213" s="1"/>
  <c r="A67" i="213" s="1"/>
  <c r="A68" i="213" s="1"/>
  <c r="A69" i="213" s="1"/>
  <c r="A70" i="213" s="1"/>
  <c r="A71" i="213" s="1"/>
  <c r="A72" i="213" s="1"/>
  <c r="A73" i="213" s="1"/>
  <c r="A74" i="213" s="1"/>
  <c r="A75" i="213" s="1"/>
  <c r="A76" i="213" s="1"/>
  <c r="A77" i="213" s="1"/>
  <c r="A78" i="213" s="1"/>
  <c r="A79" i="213" s="1"/>
  <c r="A80" i="213" s="1"/>
  <c r="A81" i="213" s="1"/>
  <c r="A82" i="213" s="1"/>
  <c r="A83" i="213" s="1"/>
  <c r="A84" i="213" s="1"/>
  <c r="A85" i="213" s="1"/>
  <c r="A86" i="213" s="1"/>
  <c r="A87" i="213" s="1"/>
  <c r="A88" i="213" s="1"/>
  <c r="A89" i="213" s="1"/>
  <c r="A90" i="213" s="1"/>
  <c r="A91" i="213" s="1"/>
  <c r="A92" i="213" s="1"/>
  <c r="A93" i="213" s="1"/>
  <c r="A94" i="213" s="1"/>
  <c r="A95" i="213" s="1"/>
  <c r="A96" i="213" s="1"/>
  <c r="A97" i="213" s="1"/>
  <c r="A98" i="213" s="1"/>
  <c r="A99" i="213" s="1"/>
  <c r="A100" i="213" s="1"/>
  <c r="A101" i="213" s="1"/>
  <c r="A102" i="213" s="1"/>
  <c r="A103" i="213" s="1"/>
  <c r="A104" i="213" s="1"/>
  <c r="A105" i="213" s="1"/>
  <c r="A106" i="213" s="1"/>
  <c r="A107" i="213" s="1"/>
  <c r="A108" i="213" s="1"/>
  <c r="A109" i="213" s="1"/>
  <c r="A110" i="213" s="1"/>
  <c r="A111" i="213" s="1"/>
  <c r="A112" i="213" s="1"/>
  <c r="A113" i="213" s="1"/>
  <c r="A114" i="213" s="1"/>
  <c r="A115" i="213" s="1"/>
  <c r="A116" i="213" s="1"/>
  <c r="A117" i="213" s="1"/>
  <c r="A118" i="213" s="1"/>
  <c r="A119" i="213" s="1"/>
  <c r="A120" i="213" s="1"/>
  <c r="A121" i="213" s="1"/>
  <c r="A122" i="213" s="1"/>
  <c r="A123" i="213" s="1"/>
  <c r="A124" i="213" s="1"/>
  <c r="A125" i="213" s="1"/>
  <c r="A126" i="213" s="1"/>
  <c r="A127" i="213" s="1"/>
  <c r="A128" i="213" s="1"/>
  <c r="A129" i="213" s="1"/>
  <c r="A130" i="213" s="1"/>
  <c r="A131" i="213" s="1"/>
  <c r="A132" i="213" s="1"/>
  <c r="A133" i="213" s="1"/>
  <c r="A134" i="213" s="1"/>
  <c r="A135" i="213" s="1"/>
  <c r="A136" i="213" s="1"/>
  <c r="A137" i="213" s="1"/>
  <c r="A138" i="213" s="1"/>
  <c r="A139" i="213" s="1"/>
  <c r="A140" i="213" s="1"/>
  <c r="H140" i="213"/>
  <c r="H16" i="280"/>
  <c r="F17" i="280"/>
  <c r="G17" i="280" s="1"/>
  <c r="R21" i="321" l="1"/>
  <c r="Q20" i="321"/>
  <c r="O20" i="321"/>
  <c r="M18" i="321"/>
  <c r="M20" i="321" s="1"/>
  <c r="D18" i="321"/>
  <c r="M17" i="321"/>
  <c r="N17" i="321" s="1"/>
  <c r="O17" i="321" s="1"/>
  <c r="H17" i="321"/>
  <c r="I17" i="321" s="1"/>
  <c r="F17" i="321"/>
  <c r="G17" i="321" s="1"/>
  <c r="M16" i="321"/>
  <c r="N16" i="321" s="1"/>
  <c r="O16" i="321" s="1"/>
  <c r="H16" i="321"/>
  <c r="I16" i="321" s="1"/>
  <c r="F16" i="321"/>
  <c r="H31" i="320"/>
  <c r="H30" i="320"/>
  <c r="I30" i="320" s="1"/>
  <c r="H29" i="320"/>
  <c r="I29" i="320" s="1"/>
  <c r="H28" i="320"/>
  <c r="I28" i="320" s="1"/>
  <c r="H27" i="320"/>
  <c r="I27" i="320" s="1"/>
  <c r="H26" i="320"/>
  <c r="I26" i="320" s="1"/>
  <c r="H25" i="320"/>
  <c r="I25" i="320" s="1"/>
  <c r="H24" i="320"/>
  <c r="I24" i="320" s="1"/>
  <c r="H23" i="320"/>
  <c r="I23" i="320" s="1"/>
  <c r="H22" i="320"/>
  <c r="I22" i="320" s="1"/>
  <c r="H21" i="320"/>
  <c r="I21" i="320" s="1"/>
  <c r="H20" i="320"/>
  <c r="I20" i="320" s="1"/>
  <c r="H19" i="320"/>
  <c r="I19" i="320" s="1"/>
  <c r="H18" i="320"/>
  <c r="H17" i="320"/>
  <c r="I17" i="320" s="1"/>
  <c r="R36" i="320"/>
  <c r="Q35" i="320"/>
  <c r="O35" i="320"/>
  <c r="M33" i="320"/>
  <c r="M35" i="320" s="1"/>
  <c r="D33" i="320"/>
  <c r="M32" i="320"/>
  <c r="N32" i="320" s="1"/>
  <c r="O32" i="320" s="1"/>
  <c r="H32" i="320"/>
  <c r="I32" i="320" s="1"/>
  <c r="F32" i="320"/>
  <c r="G32" i="320" s="1"/>
  <c r="M31" i="320"/>
  <c r="N31" i="320" s="1"/>
  <c r="O31" i="320" s="1"/>
  <c r="I31" i="320"/>
  <c r="F31" i="320"/>
  <c r="G31" i="320" s="1"/>
  <c r="M30" i="320"/>
  <c r="N30" i="320" s="1"/>
  <c r="O30" i="320" s="1"/>
  <c r="F30" i="320"/>
  <c r="G30" i="320" s="1"/>
  <c r="M29" i="320"/>
  <c r="N29" i="320" s="1"/>
  <c r="O29" i="320" s="1"/>
  <c r="F29" i="320"/>
  <c r="G29" i="320" s="1"/>
  <c r="M28" i="320"/>
  <c r="N28" i="320" s="1"/>
  <c r="O28" i="320" s="1"/>
  <c r="F28" i="320"/>
  <c r="G28" i="320" s="1"/>
  <c r="M27" i="320"/>
  <c r="N27" i="320" s="1"/>
  <c r="O27" i="320" s="1"/>
  <c r="F27" i="320"/>
  <c r="G27" i="320" s="1"/>
  <c r="M26" i="320"/>
  <c r="N26" i="320" s="1"/>
  <c r="O26" i="320" s="1"/>
  <c r="F26" i="320"/>
  <c r="G26" i="320" s="1"/>
  <c r="M25" i="320"/>
  <c r="N25" i="320" s="1"/>
  <c r="O25" i="320" s="1"/>
  <c r="F25" i="320"/>
  <c r="G25" i="320" s="1"/>
  <c r="M24" i="320"/>
  <c r="N24" i="320" s="1"/>
  <c r="O24" i="320" s="1"/>
  <c r="F24" i="320"/>
  <c r="G24" i="320" s="1"/>
  <c r="M23" i="320"/>
  <c r="N23" i="320" s="1"/>
  <c r="O23" i="320" s="1"/>
  <c r="F23" i="320"/>
  <c r="G23" i="320" s="1"/>
  <c r="M22" i="320"/>
  <c r="N22" i="320" s="1"/>
  <c r="O22" i="320" s="1"/>
  <c r="F22" i="320"/>
  <c r="G22" i="320" s="1"/>
  <c r="M21" i="320"/>
  <c r="N21" i="320" s="1"/>
  <c r="O21" i="320" s="1"/>
  <c r="F21" i="320"/>
  <c r="G21" i="320" s="1"/>
  <c r="M20" i="320"/>
  <c r="N20" i="320" s="1"/>
  <c r="O20" i="320" s="1"/>
  <c r="F20" i="320"/>
  <c r="G20" i="320" s="1"/>
  <c r="M19" i="320"/>
  <c r="N19" i="320" s="1"/>
  <c r="O19" i="320" s="1"/>
  <c r="F19" i="320"/>
  <c r="G19" i="320" s="1"/>
  <c r="M18" i="320"/>
  <c r="N18" i="320" s="1"/>
  <c r="O18" i="320" s="1"/>
  <c r="I18" i="320"/>
  <c r="F18" i="320"/>
  <c r="G18" i="320" s="1"/>
  <c r="M17" i="320"/>
  <c r="N17" i="320" s="1"/>
  <c r="O17" i="320" s="1"/>
  <c r="F17" i="320"/>
  <c r="G17" i="320" s="1"/>
  <c r="A17" i="320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M16" i="320"/>
  <c r="N16" i="320" s="1"/>
  <c r="O16" i="320" s="1"/>
  <c r="H16" i="320"/>
  <c r="I16" i="320" s="1"/>
  <c r="F16" i="320"/>
  <c r="G16" i="320" s="1"/>
  <c r="P35" i="320" l="1"/>
  <c r="R35" i="320" s="1"/>
  <c r="F18" i="321"/>
  <c r="P20" i="321"/>
  <c r="R20" i="321" s="1"/>
  <c r="G16" i="321"/>
  <c r="G18" i="321" s="1"/>
  <c r="I18" i="321"/>
  <c r="O18" i="321"/>
  <c r="I33" i="320"/>
  <c r="G33" i="320"/>
  <c r="F33" i="320"/>
  <c r="O33" i="320"/>
  <c r="D19" i="319"/>
  <c r="H18" i="319"/>
  <c r="I18" i="319" s="1"/>
  <c r="F18" i="319"/>
  <c r="G18" i="319" s="1"/>
  <c r="H17" i="319"/>
  <c r="I17" i="319" s="1"/>
  <c r="F17" i="319"/>
  <c r="G17" i="319" s="1"/>
  <c r="H16" i="319"/>
  <c r="I16" i="319" s="1"/>
  <c r="F16" i="319"/>
  <c r="H16" i="318"/>
  <c r="I16" i="318" s="1"/>
  <c r="I18" i="318" s="1"/>
  <c r="F16" i="318"/>
  <c r="F18" i="318" s="1"/>
  <c r="D18" i="318"/>
  <c r="F19" i="319" l="1"/>
  <c r="I19" i="319"/>
  <c r="G16" i="319"/>
  <c r="G19" i="319" s="1"/>
  <c r="G16" i="318"/>
  <c r="G18" i="318" s="1"/>
  <c r="H16" i="317"/>
  <c r="I16" i="317" s="1"/>
  <c r="H20" i="317"/>
  <c r="I20" i="317" s="1"/>
  <c r="F20" i="317"/>
  <c r="G20" i="317" s="1"/>
  <c r="H19" i="317"/>
  <c r="I19" i="317" s="1"/>
  <c r="F19" i="317"/>
  <c r="G19" i="317" s="1"/>
  <c r="H18" i="317"/>
  <c r="I18" i="317" s="1"/>
  <c r="F18" i="317"/>
  <c r="G18" i="317" s="1"/>
  <c r="H17" i="317"/>
  <c r="I17" i="317" s="1"/>
  <c r="F17" i="317"/>
  <c r="G17" i="317" s="1"/>
  <c r="H22" i="317"/>
  <c r="I22" i="317" s="1"/>
  <c r="F22" i="317"/>
  <c r="G22" i="317" s="1"/>
  <c r="H21" i="317"/>
  <c r="I21" i="317" s="1"/>
  <c r="F21" i="317"/>
  <c r="G21" i="317" s="1"/>
  <c r="H23" i="317"/>
  <c r="I23" i="317" s="1"/>
  <c r="F23" i="317"/>
  <c r="G23" i="317" s="1"/>
  <c r="H24" i="317"/>
  <c r="I24" i="317" s="1"/>
  <c r="F24" i="317"/>
  <c r="G24" i="317" s="1"/>
  <c r="D26" i="317"/>
  <c r="H25" i="317"/>
  <c r="I25" i="317" s="1"/>
  <c r="F25" i="317"/>
  <c r="G25" i="317" s="1"/>
  <c r="F16" i="317"/>
  <c r="G16" i="317" s="1"/>
  <c r="I26" i="317" l="1"/>
  <c r="F26" i="317"/>
  <c r="G26" i="317"/>
  <c r="H24" i="316"/>
  <c r="H23" i="316"/>
  <c r="I23" i="316" s="1"/>
  <c r="H21" i="316"/>
  <c r="I21" i="316" s="1"/>
  <c r="H18" i="316"/>
  <c r="I18" i="316" s="1"/>
  <c r="H17" i="316"/>
  <c r="I17" i="316" s="1"/>
  <c r="H16" i="316"/>
  <c r="I16" i="316" s="1"/>
  <c r="R32" i="316"/>
  <c r="Q31" i="316"/>
  <c r="O31" i="316"/>
  <c r="M29" i="316"/>
  <c r="M31" i="316" s="1"/>
  <c r="D29" i="316"/>
  <c r="M28" i="316"/>
  <c r="N28" i="316" s="1"/>
  <c r="O28" i="316" s="1"/>
  <c r="H28" i="316"/>
  <c r="I28" i="316" s="1"/>
  <c r="F28" i="316"/>
  <c r="G28" i="316" s="1"/>
  <c r="M27" i="316"/>
  <c r="N27" i="316" s="1"/>
  <c r="O27" i="316" s="1"/>
  <c r="H27" i="316"/>
  <c r="I27" i="316" s="1"/>
  <c r="F27" i="316"/>
  <c r="G27" i="316" s="1"/>
  <c r="M26" i="316"/>
  <c r="N26" i="316" s="1"/>
  <c r="O26" i="316" s="1"/>
  <c r="H26" i="316"/>
  <c r="I26" i="316" s="1"/>
  <c r="F26" i="316"/>
  <c r="G26" i="316" s="1"/>
  <c r="M25" i="316"/>
  <c r="N25" i="316" s="1"/>
  <c r="O25" i="316" s="1"/>
  <c r="H25" i="316"/>
  <c r="I25" i="316" s="1"/>
  <c r="F25" i="316"/>
  <c r="G25" i="316" s="1"/>
  <c r="M24" i="316"/>
  <c r="N24" i="316" s="1"/>
  <c r="O24" i="316" s="1"/>
  <c r="I24" i="316"/>
  <c r="F24" i="316"/>
  <c r="G24" i="316" s="1"/>
  <c r="M23" i="316"/>
  <c r="N23" i="316" s="1"/>
  <c r="O23" i="316" s="1"/>
  <c r="F23" i="316"/>
  <c r="G23" i="316" s="1"/>
  <c r="M22" i="316"/>
  <c r="N22" i="316" s="1"/>
  <c r="O22" i="316" s="1"/>
  <c r="H22" i="316"/>
  <c r="I22" i="316" s="1"/>
  <c r="F22" i="316"/>
  <c r="G22" i="316" s="1"/>
  <c r="M21" i="316"/>
  <c r="N21" i="316" s="1"/>
  <c r="O21" i="316" s="1"/>
  <c r="F21" i="316"/>
  <c r="G21" i="316" s="1"/>
  <c r="M20" i="316"/>
  <c r="N20" i="316" s="1"/>
  <c r="O20" i="316" s="1"/>
  <c r="H20" i="316"/>
  <c r="I20" i="316" s="1"/>
  <c r="F20" i="316"/>
  <c r="G20" i="316" s="1"/>
  <c r="M19" i="316"/>
  <c r="N19" i="316" s="1"/>
  <c r="O19" i="316" s="1"/>
  <c r="H19" i="316"/>
  <c r="I19" i="316" s="1"/>
  <c r="F19" i="316"/>
  <c r="G19" i="316" s="1"/>
  <c r="M18" i="316"/>
  <c r="N18" i="316" s="1"/>
  <c r="O18" i="316" s="1"/>
  <c r="F18" i="316"/>
  <c r="G18" i="316" s="1"/>
  <c r="M17" i="316"/>
  <c r="N17" i="316" s="1"/>
  <c r="O17" i="316" s="1"/>
  <c r="F17" i="316"/>
  <c r="G17" i="316" s="1"/>
  <c r="A17" i="316"/>
  <c r="A18" i="316" s="1"/>
  <c r="A19" i="316" s="1"/>
  <c r="A20" i="316" s="1"/>
  <c r="A21" i="316" s="1"/>
  <c r="A22" i="316" s="1"/>
  <c r="A23" i="316" s="1"/>
  <c r="A24" i="316" s="1"/>
  <c r="A25" i="316" s="1"/>
  <c r="A26" i="316" s="1"/>
  <c r="A27" i="316" s="1"/>
  <c r="M16" i="316"/>
  <c r="N16" i="316" s="1"/>
  <c r="O16" i="316" s="1"/>
  <c r="F16" i="316"/>
  <c r="G16" i="316" s="1"/>
  <c r="H16" i="315"/>
  <c r="I16" i="315" s="1"/>
  <c r="R21" i="315"/>
  <c r="Q20" i="315"/>
  <c r="O20" i="315"/>
  <c r="M18" i="315"/>
  <c r="M20" i="315" s="1"/>
  <c r="D18" i="315"/>
  <c r="M17" i="315"/>
  <c r="N17" i="315" s="1"/>
  <c r="O17" i="315" s="1"/>
  <c r="H17" i="315"/>
  <c r="I17" i="315" s="1"/>
  <c r="F17" i="315"/>
  <c r="G17" i="315" s="1"/>
  <c r="M16" i="315"/>
  <c r="N16" i="315" s="1"/>
  <c r="O16" i="315" s="1"/>
  <c r="F16" i="315"/>
  <c r="H30" i="314"/>
  <c r="I30" i="314" s="1"/>
  <c r="H28" i="314"/>
  <c r="I28" i="314" s="1"/>
  <c r="H17" i="314"/>
  <c r="I17" i="314" s="1"/>
  <c r="H16" i="314"/>
  <c r="I16" i="314" s="1"/>
  <c r="R35" i="314"/>
  <c r="Q34" i="314"/>
  <c r="O34" i="314"/>
  <c r="M32" i="314"/>
  <c r="M34" i="314" s="1"/>
  <c r="D32" i="314"/>
  <c r="M31" i="314"/>
  <c r="N31" i="314" s="1"/>
  <c r="O31" i="314" s="1"/>
  <c r="H31" i="314"/>
  <c r="I31" i="314" s="1"/>
  <c r="F31" i="314"/>
  <c r="G31" i="314" s="1"/>
  <c r="M30" i="314"/>
  <c r="N30" i="314" s="1"/>
  <c r="O30" i="314" s="1"/>
  <c r="F30" i="314"/>
  <c r="G30" i="314" s="1"/>
  <c r="M29" i="314"/>
  <c r="N29" i="314" s="1"/>
  <c r="O29" i="314" s="1"/>
  <c r="H29" i="314"/>
  <c r="I29" i="314" s="1"/>
  <c r="F29" i="314"/>
  <c r="G29" i="314" s="1"/>
  <c r="M28" i="314"/>
  <c r="N28" i="314" s="1"/>
  <c r="O28" i="314" s="1"/>
  <c r="F28" i="314"/>
  <c r="G28" i="314" s="1"/>
  <c r="M27" i="314"/>
  <c r="N27" i="314" s="1"/>
  <c r="O27" i="314" s="1"/>
  <c r="H27" i="314"/>
  <c r="I27" i="314" s="1"/>
  <c r="F27" i="314"/>
  <c r="G27" i="314" s="1"/>
  <c r="M26" i="314"/>
  <c r="N26" i="314" s="1"/>
  <c r="O26" i="314" s="1"/>
  <c r="H26" i="314"/>
  <c r="I26" i="314" s="1"/>
  <c r="F26" i="314"/>
  <c r="G26" i="314" s="1"/>
  <c r="M25" i="314"/>
  <c r="N25" i="314" s="1"/>
  <c r="O25" i="314" s="1"/>
  <c r="H25" i="314"/>
  <c r="I25" i="314" s="1"/>
  <c r="F25" i="314"/>
  <c r="G25" i="314" s="1"/>
  <c r="M24" i="314"/>
  <c r="N24" i="314" s="1"/>
  <c r="O24" i="314" s="1"/>
  <c r="H24" i="314"/>
  <c r="I24" i="314" s="1"/>
  <c r="F24" i="314"/>
  <c r="G24" i="314" s="1"/>
  <c r="M23" i="314"/>
  <c r="N23" i="314" s="1"/>
  <c r="O23" i="314" s="1"/>
  <c r="H23" i="314"/>
  <c r="I23" i="314" s="1"/>
  <c r="F23" i="314"/>
  <c r="G23" i="314" s="1"/>
  <c r="M22" i="314"/>
  <c r="N22" i="314" s="1"/>
  <c r="O22" i="314" s="1"/>
  <c r="H22" i="314"/>
  <c r="I22" i="314" s="1"/>
  <c r="F22" i="314"/>
  <c r="G22" i="314" s="1"/>
  <c r="M21" i="314"/>
  <c r="N21" i="314" s="1"/>
  <c r="O21" i="314" s="1"/>
  <c r="H21" i="314"/>
  <c r="I21" i="314" s="1"/>
  <c r="F21" i="314"/>
  <c r="G21" i="314" s="1"/>
  <c r="M20" i="314"/>
  <c r="N20" i="314" s="1"/>
  <c r="O20" i="314" s="1"/>
  <c r="H20" i="314"/>
  <c r="I20" i="314" s="1"/>
  <c r="F20" i="314"/>
  <c r="M19" i="314"/>
  <c r="N19" i="314" s="1"/>
  <c r="O19" i="314" s="1"/>
  <c r="H19" i="314"/>
  <c r="I19" i="314" s="1"/>
  <c r="F19" i="314"/>
  <c r="G19" i="314" s="1"/>
  <c r="M18" i="314"/>
  <c r="N18" i="314" s="1"/>
  <c r="O18" i="314" s="1"/>
  <c r="H18" i="314"/>
  <c r="I18" i="314" s="1"/>
  <c r="F18" i="314"/>
  <c r="G18" i="314" s="1"/>
  <c r="M17" i="314"/>
  <c r="N17" i="314" s="1"/>
  <c r="O17" i="314" s="1"/>
  <c r="F17" i="314"/>
  <c r="G17" i="314" s="1"/>
  <c r="A17" i="314"/>
  <c r="A18" i="314" s="1"/>
  <c r="A19" i="314" s="1"/>
  <c r="A20" i="314" s="1"/>
  <c r="A21" i="314" s="1"/>
  <c r="A22" i="314" s="1"/>
  <c r="A23" i="314" s="1"/>
  <c r="A24" i="314" s="1"/>
  <c r="A25" i="314" s="1"/>
  <c r="A26" i="314" s="1"/>
  <c r="A27" i="314" s="1"/>
  <c r="A28" i="314" s="1"/>
  <c r="A29" i="314" s="1"/>
  <c r="A30" i="314" s="1"/>
  <c r="M16" i="314"/>
  <c r="N16" i="314" s="1"/>
  <c r="O16" i="314" s="1"/>
  <c r="F16" i="314"/>
  <c r="G16" i="314" s="1"/>
  <c r="I29" i="316" l="1"/>
  <c r="F29" i="316"/>
  <c r="P31" i="316"/>
  <c r="R31" i="316" s="1"/>
  <c r="G29" i="316"/>
  <c r="O29" i="316"/>
  <c r="F32" i="314"/>
  <c r="O18" i="315"/>
  <c r="G16" i="315"/>
  <c r="G18" i="315" s="1"/>
  <c r="I18" i="315"/>
  <c r="P20" i="315"/>
  <c r="R20" i="315" s="1"/>
  <c r="F18" i="315"/>
  <c r="P34" i="314"/>
  <c r="R34" i="314" s="1"/>
  <c r="I32" i="314"/>
  <c r="G20" i="314"/>
  <c r="G32" i="314" s="1"/>
  <c r="O32" i="314"/>
  <c r="A17" i="313"/>
  <c r="A18" i="313" s="1"/>
  <c r="A19" i="313" s="1"/>
  <c r="A20" i="313" s="1"/>
  <c r="A21" i="313" s="1"/>
  <c r="A22" i="313" s="1"/>
  <c r="A23" i="313" s="1"/>
  <c r="A24" i="313" s="1"/>
  <c r="A25" i="313" s="1"/>
  <c r="A26" i="313" s="1"/>
  <c r="A27" i="313" s="1"/>
  <c r="A28" i="313" s="1"/>
  <c r="A29" i="313" s="1"/>
  <c r="A30" i="313" s="1"/>
  <c r="A31" i="313" s="1"/>
  <c r="M23" i="313"/>
  <c r="N23" i="313" s="1"/>
  <c r="O23" i="313" s="1"/>
  <c r="H23" i="313"/>
  <c r="I23" i="313" s="1"/>
  <c r="F23" i="313"/>
  <c r="G23" i="313" s="1"/>
  <c r="M22" i="313"/>
  <c r="N22" i="313" s="1"/>
  <c r="O22" i="313" s="1"/>
  <c r="H22" i="313"/>
  <c r="I22" i="313" s="1"/>
  <c r="F22" i="313"/>
  <c r="G22" i="313" s="1"/>
  <c r="M21" i="313"/>
  <c r="N21" i="313" s="1"/>
  <c r="O21" i="313" s="1"/>
  <c r="H21" i="313"/>
  <c r="I21" i="313" s="1"/>
  <c r="F21" i="313"/>
  <c r="G21" i="313" s="1"/>
  <c r="M20" i="313"/>
  <c r="N20" i="313" s="1"/>
  <c r="O20" i="313" s="1"/>
  <c r="H20" i="313"/>
  <c r="I20" i="313" s="1"/>
  <c r="F20" i="313"/>
  <c r="G20" i="313" s="1"/>
  <c r="M19" i="313"/>
  <c r="N19" i="313" s="1"/>
  <c r="O19" i="313" s="1"/>
  <c r="H19" i="313"/>
  <c r="I19" i="313" s="1"/>
  <c r="F19" i="313"/>
  <c r="G19" i="313" s="1"/>
  <c r="M18" i="313"/>
  <c r="N18" i="313" s="1"/>
  <c r="O18" i="313" s="1"/>
  <c r="H18" i="313"/>
  <c r="I18" i="313" s="1"/>
  <c r="F18" i="313"/>
  <c r="G18" i="313" s="1"/>
  <c r="M17" i="313"/>
  <c r="N17" i="313" s="1"/>
  <c r="O17" i="313" s="1"/>
  <c r="H17" i="313"/>
  <c r="I17" i="313" s="1"/>
  <c r="F17" i="313"/>
  <c r="G17" i="313" s="1"/>
  <c r="M16" i="313"/>
  <c r="N16" i="313" s="1"/>
  <c r="O16" i="313" s="1"/>
  <c r="H16" i="313"/>
  <c r="I16" i="313" s="1"/>
  <c r="F16" i="313"/>
  <c r="G16" i="313" s="1"/>
  <c r="M27" i="313"/>
  <c r="N27" i="313" s="1"/>
  <c r="O27" i="313" s="1"/>
  <c r="H27" i="313"/>
  <c r="I27" i="313" s="1"/>
  <c r="F27" i="313"/>
  <c r="G27" i="313" s="1"/>
  <c r="M26" i="313"/>
  <c r="N26" i="313" s="1"/>
  <c r="O26" i="313" s="1"/>
  <c r="H26" i="313"/>
  <c r="I26" i="313" s="1"/>
  <c r="F26" i="313"/>
  <c r="G26" i="313" s="1"/>
  <c r="M25" i="313"/>
  <c r="N25" i="313" s="1"/>
  <c r="O25" i="313" s="1"/>
  <c r="H25" i="313"/>
  <c r="I25" i="313" s="1"/>
  <c r="F25" i="313"/>
  <c r="G25" i="313" s="1"/>
  <c r="M24" i="313"/>
  <c r="N24" i="313" s="1"/>
  <c r="O24" i="313" s="1"/>
  <c r="H24" i="313"/>
  <c r="I24" i="313" s="1"/>
  <c r="F24" i="313"/>
  <c r="G24" i="313" s="1"/>
  <c r="M29" i="313"/>
  <c r="N29" i="313" s="1"/>
  <c r="O29" i="313" s="1"/>
  <c r="H29" i="313"/>
  <c r="I29" i="313" s="1"/>
  <c r="F29" i="313"/>
  <c r="G29" i="313" s="1"/>
  <c r="M28" i="313"/>
  <c r="N28" i="313" s="1"/>
  <c r="O28" i="313" s="1"/>
  <c r="H28" i="313"/>
  <c r="I28" i="313" s="1"/>
  <c r="F28" i="313"/>
  <c r="G28" i="313" s="1"/>
  <c r="M30" i="313"/>
  <c r="N30" i="313" s="1"/>
  <c r="O30" i="313" s="1"/>
  <c r="H30" i="313"/>
  <c r="I30" i="313" s="1"/>
  <c r="F30" i="313"/>
  <c r="G30" i="313" s="1"/>
  <c r="M31" i="313"/>
  <c r="N31" i="313" s="1"/>
  <c r="O31" i="313" s="1"/>
  <c r="H31" i="313"/>
  <c r="I31" i="313" s="1"/>
  <c r="F31" i="313"/>
  <c r="G31" i="313" s="1"/>
  <c r="R36" i="313"/>
  <c r="Q35" i="313"/>
  <c r="O35" i="313"/>
  <c r="M33" i="313"/>
  <c r="M35" i="313" s="1"/>
  <c r="D33" i="313"/>
  <c r="M32" i="313"/>
  <c r="N32" i="313" s="1"/>
  <c r="O32" i="313" s="1"/>
  <c r="H32" i="313"/>
  <c r="I32" i="313" s="1"/>
  <c r="F32" i="313"/>
  <c r="G32" i="313" s="1"/>
  <c r="D18" i="312"/>
  <c r="H16" i="312"/>
  <c r="I16" i="312" s="1"/>
  <c r="F16" i="312"/>
  <c r="G16" i="312" s="1"/>
  <c r="D21" i="311"/>
  <c r="H19" i="311"/>
  <c r="I19" i="311" s="1"/>
  <c r="F19" i="311"/>
  <c r="G19" i="311" s="1"/>
  <c r="H18" i="311"/>
  <c r="I18" i="311" s="1"/>
  <c r="F18" i="311"/>
  <c r="G18" i="311" s="1"/>
  <c r="H17" i="311"/>
  <c r="I17" i="311" s="1"/>
  <c r="F17" i="311"/>
  <c r="G17" i="311" s="1"/>
  <c r="A17" i="311"/>
  <c r="A18" i="311" s="1"/>
  <c r="A19" i="311" s="1"/>
  <c r="H16" i="311"/>
  <c r="I16" i="311" s="1"/>
  <c r="F16" i="311"/>
  <c r="A17" i="310"/>
  <c r="A18" i="310" s="1"/>
  <c r="A19" i="310" s="1"/>
  <c r="A20" i="310" s="1"/>
  <c r="A21" i="310" s="1"/>
  <c r="A22" i="310" s="1"/>
  <c r="A23" i="310" s="1"/>
  <c r="A24" i="310" s="1"/>
  <c r="A25" i="310" s="1"/>
  <c r="A26" i="310" s="1"/>
  <c r="A27" i="310" s="1"/>
  <c r="A28" i="310" s="1"/>
  <c r="A29" i="310" s="1"/>
  <c r="A30" i="310" s="1"/>
  <c r="A31" i="310" s="1"/>
  <c r="H22" i="310"/>
  <c r="I22" i="310" s="1"/>
  <c r="F22" i="310"/>
  <c r="G22" i="310" s="1"/>
  <c r="H21" i="310"/>
  <c r="I21" i="310" s="1"/>
  <c r="F21" i="310"/>
  <c r="G21" i="310" s="1"/>
  <c r="H20" i="310"/>
  <c r="I20" i="310" s="1"/>
  <c r="F20" i="310"/>
  <c r="G20" i="310" s="1"/>
  <c r="H25" i="310"/>
  <c r="I25" i="310" s="1"/>
  <c r="F25" i="310"/>
  <c r="G25" i="310" s="1"/>
  <c r="H24" i="310"/>
  <c r="I24" i="310" s="1"/>
  <c r="F24" i="310"/>
  <c r="G24" i="310" s="1"/>
  <c r="H23" i="310"/>
  <c r="I23" i="310" s="1"/>
  <c r="F23" i="310"/>
  <c r="G23" i="310" s="1"/>
  <c r="H19" i="310"/>
  <c r="I19" i="310" s="1"/>
  <c r="F19" i="310"/>
  <c r="G19" i="310" s="1"/>
  <c r="H18" i="310"/>
  <c r="I18" i="310" s="1"/>
  <c r="F18" i="310"/>
  <c r="G18" i="310" s="1"/>
  <c r="H17" i="310"/>
  <c r="I17" i="310" s="1"/>
  <c r="F17" i="310"/>
  <c r="G17" i="310" s="1"/>
  <c r="H28" i="310"/>
  <c r="I28" i="310" s="1"/>
  <c r="F28" i="310"/>
  <c r="G28" i="310" s="1"/>
  <c r="H27" i="310"/>
  <c r="I27" i="310" s="1"/>
  <c r="F27" i="310"/>
  <c r="G27" i="310" s="1"/>
  <c r="H26" i="310"/>
  <c r="I26" i="310" s="1"/>
  <c r="F26" i="310"/>
  <c r="G26" i="310" s="1"/>
  <c r="D33" i="310"/>
  <c r="H31" i="310"/>
  <c r="I31" i="310" s="1"/>
  <c r="F31" i="310"/>
  <c r="G31" i="310" s="1"/>
  <c r="H30" i="310"/>
  <c r="I30" i="310" s="1"/>
  <c r="F30" i="310"/>
  <c r="G30" i="310" s="1"/>
  <c r="H29" i="310"/>
  <c r="I29" i="310" s="1"/>
  <c r="F29" i="310"/>
  <c r="G29" i="310" s="1"/>
  <c r="H16" i="310"/>
  <c r="I16" i="310" s="1"/>
  <c r="F16" i="310"/>
  <c r="G16" i="310" s="1"/>
  <c r="R21" i="309"/>
  <c r="Q20" i="309"/>
  <c r="O20" i="309"/>
  <c r="M18" i="309"/>
  <c r="O18" i="309" s="1"/>
  <c r="D18" i="309"/>
  <c r="M17" i="309"/>
  <c r="N17" i="309" s="1"/>
  <c r="O17" i="309" s="1"/>
  <c r="H17" i="309"/>
  <c r="I17" i="309" s="1"/>
  <c r="F17" i="309"/>
  <c r="M16" i="309"/>
  <c r="N16" i="309" s="1"/>
  <c r="O16" i="309" s="1"/>
  <c r="H16" i="309"/>
  <c r="I16" i="309" s="1"/>
  <c r="F16" i="309"/>
  <c r="G16" i="309" s="1"/>
  <c r="R21" i="308"/>
  <c r="Q20" i="308"/>
  <c r="O20" i="308"/>
  <c r="M18" i="308"/>
  <c r="M20" i="308" s="1"/>
  <c r="D18" i="308"/>
  <c r="M17" i="308"/>
  <c r="N17" i="308" s="1"/>
  <c r="O17" i="308" s="1"/>
  <c r="H17" i="308"/>
  <c r="I17" i="308" s="1"/>
  <c r="F17" i="308"/>
  <c r="G17" i="308" s="1"/>
  <c r="M16" i="308"/>
  <c r="N16" i="308" s="1"/>
  <c r="O16" i="308" s="1"/>
  <c r="H16" i="308"/>
  <c r="I16" i="308" s="1"/>
  <c r="F16" i="308"/>
  <c r="R21" i="307"/>
  <c r="Q20" i="307"/>
  <c r="O20" i="307"/>
  <c r="M18" i="307"/>
  <c r="M20" i="307" s="1"/>
  <c r="D18" i="307"/>
  <c r="M17" i="307"/>
  <c r="N17" i="307" s="1"/>
  <c r="O17" i="307" s="1"/>
  <c r="H17" i="307"/>
  <c r="I17" i="307" s="1"/>
  <c r="F17" i="307"/>
  <c r="G17" i="307" s="1"/>
  <c r="M16" i="307"/>
  <c r="N16" i="307" s="1"/>
  <c r="O16" i="307" s="1"/>
  <c r="H16" i="307"/>
  <c r="I16" i="307" s="1"/>
  <c r="F16" i="307"/>
  <c r="G16" i="307" s="1"/>
  <c r="P35" i="313" l="1"/>
  <c r="R35" i="313" s="1"/>
  <c r="I33" i="313"/>
  <c r="G33" i="313"/>
  <c r="F33" i="313"/>
  <c r="O33" i="313"/>
  <c r="P20" i="307"/>
  <c r="R20" i="307" s="1"/>
  <c r="G18" i="312"/>
  <c r="I18" i="312"/>
  <c r="F18" i="312"/>
  <c r="F21" i="311"/>
  <c r="G16" i="311"/>
  <c r="G21" i="311" s="1"/>
  <c r="I21" i="311"/>
  <c r="I33" i="310"/>
  <c r="G33" i="310"/>
  <c r="P20" i="308"/>
  <c r="R20" i="308" s="1"/>
  <c r="F33" i="310"/>
  <c r="I18" i="309"/>
  <c r="F18" i="309"/>
  <c r="G17" i="309"/>
  <c r="G18" i="309" s="1"/>
  <c r="M20" i="309"/>
  <c r="P20" i="309" s="1"/>
  <c r="R20" i="309" s="1"/>
  <c r="F18" i="308"/>
  <c r="G16" i="308"/>
  <c r="G18" i="308" s="1"/>
  <c r="I18" i="308"/>
  <c r="O18" i="308"/>
  <c r="I18" i="307"/>
  <c r="G18" i="307"/>
  <c r="F18" i="307"/>
  <c r="O18" i="307"/>
  <c r="D25" i="306"/>
  <c r="H23" i="306"/>
  <c r="I23" i="306" s="1"/>
  <c r="F23" i="306"/>
  <c r="G23" i="306" s="1"/>
  <c r="H22" i="306"/>
  <c r="I22" i="306" s="1"/>
  <c r="F22" i="306"/>
  <c r="G22" i="306" s="1"/>
  <c r="H21" i="306"/>
  <c r="I21" i="306" s="1"/>
  <c r="F21" i="306"/>
  <c r="G21" i="306" s="1"/>
  <c r="H20" i="306"/>
  <c r="I20" i="306" s="1"/>
  <c r="F20" i="306"/>
  <c r="G20" i="306" s="1"/>
  <c r="H19" i="306"/>
  <c r="I19" i="306" s="1"/>
  <c r="F19" i="306"/>
  <c r="G19" i="306" s="1"/>
  <c r="H18" i="306"/>
  <c r="I18" i="306" s="1"/>
  <c r="F18" i="306"/>
  <c r="G18" i="306" s="1"/>
  <c r="H17" i="306"/>
  <c r="I17" i="306" s="1"/>
  <c r="F17" i="306"/>
  <c r="G17" i="306" s="1"/>
  <c r="H16" i="306"/>
  <c r="I16" i="306" s="1"/>
  <c r="F16" i="306"/>
  <c r="H23" i="305"/>
  <c r="H22" i="305"/>
  <c r="I22" i="305" s="1"/>
  <c r="H21" i="305"/>
  <c r="I21" i="305" s="1"/>
  <c r="H20" i="305"/>
  <c r="I20" i="305" s="1"/>
  <c r="H19" i="305"/>
  <c r="I19" i="305" s="1"/>
  <c r="H18" i="305"/>
  <c r="I18" i="305" s="1"/>
  <c r="H17" i="305"/>
  <c r="I17" i="305" s="1"/>
  <c r="D25" i="305"/>
  <c r="I23" i="305"/>
  <c r="F23" i="305"/>
  <c r="G23" i="305" s="1"/>
  <c r="F22" i="305"/>
  <c r="G22" i="305" s="1"/>
  <c r="F21" i="305"/>
  <c r="G21" i="305" s="1"/>
  <c r="F20" i="305"/>
  <c r="G20" i="305" s="1"/>
  <c r="F19" i="305"/>
  <c r="G19" i="305" s="1"/>
  <c r="F18" i="305"/>
  <c r="G18" i="305" s="1"/>
  <c r="F17" i="305"/>
  <c r="G17" i="305" s="1"/>
  <c r="H16" i="305"/>
  <c r="I16" i="305" s="1"/>
  <c r="F16" i="305"/>
  <c r="F25" i="306" l="1"/>
  <c r="I25" i="306"/>
  <c r="G16" i="306"/>
  <c r="G25" i="306" s="1"/>
  <c r="F25" i="305"/>
  <c r="I25" i="305"/>
  <c r="G16" i="305"/>
  <c r="G25" i="305" s="1"/>
  <c r="G17" i="304"/>
  <c r="E17" i="304"/>
  <c r="H17" i="304" s="1"/>
  <c r="I17" i="304" s="1"/>
  <c r="G16" i="304"/>
  <c r="E16" i="304"/>
  <c r="H16" i="304" s="1"/>
  <c r="I16" i="304" s="1"/>
  <c r="D19" i="304"/>
  <c r="F19" i="304"/>
  <c r="G17" i="303"/>
  <c r="E17" i="303"/>
  <c r="H17" i="303" s="1"/>
  <c r="I17" i="303" s="1"/>
  <c r="E16" i="303"/>
  <c r="H16" i="303" s="1"/>
  <c r="I16" i="303" s="1"/>
  <c r="D19" i="303"/>
  <c r="F19" i="303"/>
  <c r="I19" i="304" l="1"/>
  <c r="G19" i="304"/>
  <c r="I19" i="303"/>
  <c r="G16" i="303"/>
  <c r="G19" i="303" s="1"/>
  <c r="H22" i="302"/>
  <c r="I22" i="302" s="1"/>
  <c r="H21" i="302"/>
  <c r="I21" i="302" s="1"/>
  <c r="H19" i="302"/>
  <c r="I19" i="302" s="1"/>
  <c r="H18" i="302"/>
  <c r="I18" i="302" s="1"/>
  <c r="H17" i="302"/>
  <c r="I17" i="302" s="1"/>
  <c r="H16" i="302"/>
  <c r="I16" i="302" s="1"/>
  <c r="F18" i="302"/>
  <c r="G18" i="302" s="1"/>
  <c r="F17" i="302"/>
  <c r="G17" i="302" s="1"/>
  <c r="F21" i="302"/>
  <c r="G21" i="302" s="1"/>
  <c r="H20" i="302"/>
  <c r="I20" i="302" s="1"/>
  <c r="F20" i="302"/>
  <c r="G20" i="302" s="1"/>
  <c r="F19" i="302"/>
  <c r="G19" i="302" s="1"/>
  <c r="D26" i="302"/>
  <c r="H24" i="302"/>
  <c r="I24" i="302" s="1"/>
  <c r="F24" i="302"/>
  <c r="G24" i="302" s="1"/>
  <c r="H23" i="302"/>
  <c r="I23" i="302" s="1"/>
  <c r="F23" i="302"/>
  <c r="G23" i="302" s="1"/>
  <c r="F22" i="302"/>
  <c r="G22" i="302" s="1"/>
  <c r="F16" i="302"/>
  <c r="G16" i="302" s="1"/>
  <c r="H22" i="301"/>
  <c r="I22" i="301" s="1"/>
  <c r="H20" i="301"/>
  <c r="I20" i="301" s="1"/>
  <c r="H19" i="301"/>
  <c r="I19" i="301" s="1"/>
  <c r="H18" i="301"/>
  <c r="I18" i="301" s="1"/>
  <c r="H16" i="301"/>
  <c r="F19" i="301"/>
  <c r="G19" i="301" s="1"/>
  <c r="F18" i="301"/>
  <c r="G18" i="301" s="1"/>
  <c r="H17" i="301"/>
  <c r="I17" i="301" s="1"/>
  <c r="F17" i="301"/>
  <c r="G17" i="301" s="1"/>
  <c r="H21" i="301"/>
  <c r="I21" i="301" s="1"/>
  <c r="F21" i="301"/>
  <c r="G21" i="301" s="1"/>
  <c r="F20" i="301"/>
  <c r="G20" i="301" s="1"/>
  <c r="F22" i="301"/>
  <c r="G22" i="301" s="1"/>
  <c r="D25" i="301"/>
  <c r="H23" i="301"/>
  <c r="I23" i="301" s="1"/>
  <c r="F23" i="301"/>
  <c r="G23" i="301" s="1"/>
  <c r="I16" i="301"/>
  <c r="F16" i="301"/>
  <c r="G16" i="301" s="1"/>
  <c r="I26" i="302" l="1"/>
  <c r="F26" i="302"/>
  <c r="G26" i="302"/>
  <c r="I25" i="301"/>
  <c r="F25" i="301"/>
  <c r="G25" i="301"/>
  <c r="H19" i="286"/>
  <c r="H18" i="286"/>
  <c r="H17" i="286"/>
  <c r="H16" i="286"/>
  <c r="H34" i="284"/>
  <c r="H33" i="284"/>
  <c r="H32" i="284"/>
  <c r="H31" i="284"/>
  <c r="H30" i="284"/>
  <c r="H29" i="284"/>
  <c r="H28" i="284"/>
  <c r="H27" i="284"/>
  <c r="H26" i="284"/>
  <c r="H25" i="284"/>
  <c r="H24" i="284"/>
  <c r="H23" i="284"/>
  <c r="H22" i="284"/>
  <c r="H21" i="284"/>
  <c r="H20" i="284"/>
  <c r="H19" i="284"/>
  <c r="H18" i="284"/>
  <c r="H17" i="284"/>
  <c r="H16" i="284"/>
  <c r="H110" i="280"/>
  <c r="H109" i="280"/>
  <c r="H108" i="280"/>
  <c r="H106" i="280"/>
  <c r="H105" i="280"/>
  <c r="H104" i="280"/>
  <c r="H102" i="280"/>
  <c r="H100" i="280"/>
  <c r="H98" i="280"/>
  <c r="H97" i="280"/>
  <c r="H96" i="280"/>
  <c r="H95" i="280"/>
  <c r="H94" i="280"/>
  <c r="H93" i="280"/>
  <c r="H92" i="280"/>
  <c r="H91" i="280"/>
  <c r="H90" i="280"/>
  <c r="H89" i="280"/>
  <c r="H86" i="280"/>
  <c r="H85" i="280"/>
  <c r="H84" i="280"/>
  <c r="H83" i="280"/>
  <c r="H81" i="280"/>
  <c r="H80" i="280"/>
  <c r="H79" i="280"/>
  <c r="H78" i="280"/>
  <c r="H77" i="280"/>
  <c r="H76" i="280"/>
  <c r="H75" i="280"/>
  <c r="H74" i="280"/>
  <c r="H70" i="280"/>
  <c r="H69" i="280"/>
  <c r="H68" i="280"/>
  <c r="H67" i="280"/>
  <c r="H66" i="280"/>
  <c r="H65" i="280"/>
  <c r="H64" i="280"/>
  <c r="H63" i="280"/>
  <c r="H57" i="280"/>
  <c r="H56" i="280"/>
  <c r="H55" i="280"/>
  <c r="H54" i="280"/>
  <c r="H52" i="280"/>
  <c r="H51" i="280"/>
  <c r="H50" i="280"/>
  <c r="H49" i="280"/>
  <c r="H48" i="280"/>
  <c r="H47" i="280"/>
  <c r="H46" i="280"/>
  <c r="H45" i="280"/>
  <c r="H44" i="280"/>
  <c r="H43" i="280"/>
  <c r="H42" i="280"/>
  <c r="H41" i="280"/>
  <c r="H40" i="280"/>
  <c r="H38" i="280"/>
  <c r="H37" i="280"/>
  <c r="H36" i="280"/>
  <c r="H35" i="280"/>
  <c r="H29" i="280"/>
  <c r="H28" i="280"/>
  <c r="H27" i="280"/>
  <c r="H26" i="280"/>
  <c r="H25" i="280"/>
  <c r="H24" i="280"/>
  <c r="H23" i="280"/>
  <c r="H22" i="280"/>
  <c r="H21" i="280"/>
  <c r="H18" i="280"/>
  <c r="F16" i="280"/>
  <c r="G16" i="280" s="1"/>
  <c r="F24" i="300" l="1"/>
  <c r="G24" i="300" s="1"/>
  <c r="F23" i="300"/>
  <c r="G23" i="300" s="1"/>
  <c r="F22" i="300"/>
  <c r="G22" i="300" s="1"/>
  <c r="F21" i="300"/>
  <c r="G21" i="300" s="1"/>
  <c r="F20" i="300"/>
  <c r="G20" i="300" s="1"/>
  <c r="F19" i="300"/>
  <c r="G19" i="300" s="1"/>
  <c r="F18" i="300"/>
  <c r="G18" i="300" s="1"/>
  <c r="H26" i="300"/>
  <c r="I26" i="300" s="1"/>
  <c r="H25" i="300"/>
  <c r="I25" i="300" s="1"/>
  <c r="H24" i="300"/>
  <c r="I24" i="300" s="1"/>
  <c r="H23" i="300"/>
  <c r="I23" i="300" s="1"/>
  <c r="H22" i="300"/>
  <c r="I22" i="300" s="1"/>
  <c r="H21" i="300"/>
  <c r="I21" i="300" s="1"/>
  <c r="H20" i="300"/>
  <c r="I20" i="300" s="1"/>
  <c r="H19" i="300"/>
  <c r="I19" i="300" s="1"/>
  <c r="H18" i="300"/>
  <c r="I18" i="300" s="1"/>
  <c r="H17" i="300"/>
  <c r="I17" i="300" s="1"/>
  <c r="R31" i="300"/>
  <c r="Q30" i="300"/>
  <c r="O30" i="300"/>
  <c r="M28" i="300"/>
  <c r="M30" i="300" s="1"/>
  <c r="D28" i="300"/>
  <c r="M27" i="300"/>
  <c r="N27" i="300" s="1"/>
  <c r="O27" i="300" s="1"/>
  <c r="H27" i="300"/>
  <c r="I27" i="300" s="1"/>
  <c r="F27" i="300"/>
  <c r="G27" i="300" s="1"/>
  <c r="F26" i="300"/>
  <c r="G26" i="300" s="1"/>
  <c r="F25" i="300"/>
  <c r="G25" i="300" s="1"/>
  <c r="F17" i="300"/>
  <c r="G17" i="300" s="1"/>
  <c r="M16" i="300"/>
  <c r="N16" i="300" s="1"/>
  <c r="O16" i="300" s="1"/>
  <c r="H16" i="300"/>
  <c r="I16" i="300" s="1"/>
  <c r="F16" i="300"/>
  <c r="G16" i="300" s="1"/>
  <c r="H17" i="299"/>
  <c r="I17" i="299" s="1"/>
  <c r="H18" i="299"/>
  <c r="I18" i="299" s="1"/>
  <c r="F18" i="299"/>
  <c r="G18" i="299" s="1"/>
  <c r="H19" i="299"/>
  <c r="I19" i="299" s="1"/>
  <c r="F19" i="299"/>
  <c r="G19" i="299" s="1"/>
  <c r="F17" i="299"/>
  <c r="G17" i="299" s="1"/>
  <c r="D21" i="299"/>
  <c r="H16" i="299"/>
  <c r="I16" i="299" s="1"/>
  <c r="F16" i="299"/>
  <c r="P30" i="300" l="1"/>
  <c r="R30" i="300" s="1"/>
  <c r="I28" i="300"/>
  <c r="G28" i="300"/>
  <c r="F28" i="300"/>
  <c r="O28" i="300"/>
  <c r="I21" i="299"/>
  <c r="F21" i="299"/>
  <c r="G16" i="299"/>
  <c r="G21" i="299" s="1"/>
  <c r="H16" i="298"/>
  <c r="I16" i="298" s="1"/>
  <c r="D18" i="298"/>
  <c r="H17" i="298"/>
  <c r="I17" i="298" s="1"/>
  <c r="F17" i="298"/>
  <c r="G17" i="298" s="1"/>
  <c r="F16" i="298"/>
  <c r="G16" i="298" s="1"/>
  <c r="I18" i="298" l="1"/>
  <c r="F18" i="298"/>
  <c r="G18" i="298"/>
  <c r="H28" i="297"/>
  <c r="H27" i="297"/>
  <c r="H26" i="297"/>
  <c r="H23" i="297"/>
  <c r="I28" i="297" l="1"/>
  <c r="F28" i="297"/>
  <c r="G28" i="297" s="1"/>
  <c r="I27" i="297"/>
  <c r="F27" i="297"/>
  <c r="G27" i="297" s="1"/>
  <c r="D32" i="297"/>
  <c r="H31" i="297"/>
  <c r="I31" i="297" s="1"/>
  <c r="F31" i="297"/>
  <c r="G31" i="297" s="1"/>
  <c r="H30" i="297"/>
  <c r="I30" i="297" s="1"/>
  <c r="F30" i="297"/>
  <c r="G30" i="297" s="1"/>
  <c r="H29" i="297"/>
  <c r="I29" i="297" s="1"/>
  <c r="F29" i="297"/>
  <c r="G29" i="297" s="1"/>
  <c r="I26" i="297"/>
  <c r="F26" i="297"/>
  <c r="G26" i="297" s="1"/>
  <c r="H25" i="297"/>
  <c r="I25" i="297" s="1"/>
  <c r="F25" i="297"/>
  <c r="G25" i="297" s="1"/>
  <c r="H24" i="297"/>
  <c r="I24" i="297" s="1"/>
  <c r="F24" i="297"/>
  <c r="G24" i="297" s="1"/>
  <c r="I23" i="297"/>
  <c r="F23" i="297"/>
  <c r="G23" i="297" s="1"/>
  <c r="H22" i="297"/>
  <c r="I22" i="297" s="1"/>
  <c r="F22" i="297"/>
  <c r="G22" i="297" s="1"/>
  <c r="H21" i="297"/>
  <c r="I21" i="297" s="1"/>
  <c r="F21" i="297"/>
  <c r="G21" i="297" s="1"/>
  <c r="H20" i="297"/>
  <c r="I20" i="297" s="1"/>
  <c r="F20" i="297"/>
  <c r="G20" i="297" s="1"/>
  <c r="H19" i="297"/>
  <c r="I19" i="297" s="1"/>
  <c r="F19" i="297"/>
  <c r="G19" i="297" s="1"/>
  <c r="H18" i="297"/>
  <c r="I18" i="297" s="1"/>
  <c r="F18" i="297"/>
  <c r="G18" i="297" s="1"/>
  <c r="H17" i="297"/>
  <c r="I17" i="297" s="1"/>
  <c r="F17" i="297"/>
  <c r="G17" i="297" s="1"/>
  <c r="A17" i="297"/>
  <c r="A18" i="297" s="1"/>
  <c r="A19" i="297" s="1"/>
  <c r="A20" i="297" s="1"/>
  <c r="A21" i="297" s="1"/>
  <c r="A22" i="297" s="1"/>
  <c r="A23" i="297" s="1"/>
  <c r="A24" i="297" s="1"/>
  <c r="A25" i="297" s="1"/>
  <c r="A26" i="297" s="1"/>
  <c r="A29" i="297" s="1"/>
  <c r="A30" i="297" s="1"/>
  <c r="H16" i="297"/>
  <c r="I16" i="297" s="1"/>
  <c r="F16" i="297"/>
  <c r="F32" i="297" l="1"/>
  <c r="A27" i="297"/>
  <c r="A28" i="297" s="1"/>
  <c r="I32" i="297"/>
  <c r="G16" i="297"/>
  <c r="G32" i="297" s="1"/>
  <c r="H24" i="296"/>
  <c r="I24" i="296" s="1"/>
  <c r="H21" i="296"/>
  <c r="I21" i="296" s="1"/>
  <c r="F16" i="296"/>
  <c r="G16" i="296" s="1"/>
  <c r="A17" i="296"/>
  <c r="A18" i="296" s="1"/>
  <c r="A19" i="296" s="1"/>
  <c r="A20" i="296" s="1"/>
  <c r="A21" i="296" s="1"/>
  <c r="A23" i="296" s="1"/>
  <c r="A24" i="296" s="1"/>
  <c r="A25" i="296" s="1"/>
  <c r="A26" i="296" s="1"/>
  <c r="A27" i="296" s="1"/>
  <c r="A28" i="296" s="1"/>
  <c r="A29" i="296" s="1"/>
  <c r="M21" i="296"/>
  <c r="N21" i="296" s="1"/>
  <c r="O21" i="296" s="1"/>
  <c r="F21" i="296"/>
  <c r="G21" i="296" s="1"/>
  <c r="M20" i="296"/>
  <c r="N20" i="296" s="1"/>
  <c r="O20" i="296" s="1"/>
  <c r="H20" i="296"/>
  <c r="I20" i="296" s="1"/>
  <c r="F20" i="296"/>
  <c r="G20" i="296" s="1"/>
  <c r="M19" i="296"/>
  <c r="N19" i="296" s="1"/>
  <c r="O19" i="296" s="1"/>
  <c r="H19" i="296"/>
  <c r="I19" i="296" s="1"/>
  <c r="F19" i="296"/>
  <c r="G19" i="296" s="1"/>
  <c r="M18" i="296"/>
  <c r="N18" i="296" s="1"/>
  <c r="O18" i="296" s="1"/>
  <c r="H18" i="296"/>
  <c r="I18" i="296" s="1"/>
  <c r="F18" i="296"/>
  <c r="G18" i="296" s="1"/>
  <c r="M17" i="296"/>
  <c r="N17" i="296" s="1"/>
  <c r="O17" i="296" s="1"/>
  <c r="H17" i="296"/>
  <c r="I17" i="296" s="1"/>
  <c r="F17" i="296"/>
  <c r="G17" i="296" s="1"/>
  <c r="M25" i="296"/>
  <c r="N25" i="296" s="1"/>
  <c r="O25" i="296" s="1"/>
  <c r="H25" i="296"/>
  <c r="I25" i="296" s="1"/>
  <c r="F25" i="296"/>
  <c r="G25" i="296" s="1"/>
  <c r="M24" i="296"/>
  <c r="N24" i="296" s="1"/>
  <c r="O24" i="296" s="1"/>
  <c r="F24" i="296"/>
  <c r="G24" i="296" s="1"/>
  <c r="M23" i="296"/>
  <c r="N23" i="296" s="1"/>
  <c r="O23" i="296" s="1"/>
  <c r="H23" i="296"/>
  <c r="I23" i="296" s="1"/>
  <c r="F23" i="296"/>
  <c r="G23" i="296" s="1"/>
  <c r="M22" i="296"/>
  <c r="N22" i="296" s="1"/>
  <c r="O22" i="296" s="1"/>
  <c r="H22" i="296"/>
  <c r="I22" i="296" s="1"/>
  <c r="F22" i="296"/>
  <c r="G22" i="296" s="1"/>
  <c r="M27" i="296"/>
  <c r="N27" i="296" s="1"/>
  <c r="O27" i="296" s="1"/>
  <c r="H27" i="296"/>
  <c r="I27" i="296" s="1"/>
  <c r="F27" i="296"/>
  <c r="G27" i="296" s="1"/>
  <c r="M26" i="296"/>
  <c r="N26" i="296" s="1"/>
  <c r="O26" i="296" s="1"/>
  <c r="H26" i="296"/>
  <c r="I26" i="296" s="1"/>
  <c r="F26" i="296"/>
  <c r="G26" i="296" s="1"/>
  <c r="M28" i="296"/>
  <c r="N28" i="296" s="1"/>
  <c r="O28" i="296" s="1"/>
  <c r="H28" i="296"/>
  <c r="I28" i="296" s="1"/>
  <c r="F28" i="296"/>
  <c r="G28" i="296" s="1"/>
  <c r="M29" i="296"/>
  <c r="N29" i="296" s="1"/>
  <c r="O29" i="296" s="1"/>
  <c r="H29" i="296"/>
  <c r="I29" i="296" s="1"/>
  <c r="F29" i="296"/>
  <c r="G29" i="296" s="1"/>
  <c r="R34" i="296"/>
  <c r="Q33" i="296"/>
  <c r="O33" i="296"/>
  <c r="M31" i="296"/>
  <c r="M33" i="296" s="1"/>
  <c r="D31" i="296"/>
  <c r="M30" i="296"/>
  <c r="N30" i="296" s="1"/>
  <c r="O30" i="296" s="1"/>
  <c r="H30" i="296"/>
  <c r="I30" i="296" s="1"/>
  <c r="F30" i="296"/>
  <c r="G30" i="296" s="1"/>
  <c r="M16" i="296"/>
  <c r="N16" i="296" s="1"/>
  <c r="O16" i="296" s="1"/>
  <c r="H16" i="296"/>
  <c r="I16" i="296" s="1"/>
  <c r="R21" i="295"/>
  <c r="Q20" i="295"/>
  <c r="O20" i="295"/>
  <c r="M18" i="295"/>
  <c r="M20" i="295" s="1"/>
  <c r="D18" i="295"/>
  <c r="M17" i="295"/>
  <c r="N17" i="295" s="1"/>
  <c r="O17" i="295" s="1"/>
  <c r="H17" i="295"/>
  <c r="I17" i="295" s="1"/>
  <c r="F17" i="295"/>
  <c r="G17" i="295" s="1"/>
  <c r="M16" i="295"/>
  <c r="N16" i="295" s="1"/>
  <c r="O16" i="295" s="1"/>
  <c r="H16" i="295"/>
  <c r="I16" i="295" s="1"/>
  <c r="F16" i="295"/>
  <c r="G16" i="295" s="1"/>
  <c r="P20" i="295" l="1"/>
  <c r="R20" i="295" s="1"/>
  <c r="P33" i="296"/>
  <c r="R33" i="296" s="1"/>
  <c r="G18" i="295"/>
  <c r="I31" i="296"/>
  <c r="F31" i="296"/>
  <c r="G31" i="296"/>
  <c r="O31" i="296"/>
  <c r="I18" i="295"/>
  <c r="F18" i="295"/>
  <c r="O18" i="295"/>
  <c r="D18" i="294"/>
  <c r="H16" i="294"/>
  <c r="I16" i="294" s="1"/>
  <c r="I18" i="294" s="1"/>
  <c r="F16" i="294"/>
  <c r="G16" i="294" s="1"/>
  <c r="G18" i="294" l="1"/>
  <c r="F18" i="294"/>
  <c r="D18" i="293"/>
  <c r="H16" i="293"/>
  <c r="I16" i="293" s="1"/>
  <c r="I18" i="293" s="1"/>
  <c r="F16" i="293"/>
  <c r="F18" i="293" s="1"/>
  <c r="D18" i="292"/>
  <c r="H16" i="292"/>
  <c r="I16" i="292" s="1"/>
  <c r="I18" i="292" s="1"/>
  <c r="F16" i="292"/>
  <c r="F18" i="292" s="1"/>
  <c r="F17" i="291"/>
  <c r="G17" i="291" s="1"/>
  <c r="H17" i="291"/>
  <c r="I17" i="291" s="1"/>
  <c r="D19" i="291"/>
  <c r="H16" i="291"/>
  <c r="I16" i="291" s="1"/>
  <c r="F16" i="291"/>
  <c r="H16" i="290"/>
  <c r="I16" i="290" s="1"/>
  <c r="D18" i="290"/>
  <c r="F16" i="290"/>
  <c r="F18" i="290" s="1"/>
  <c r="A17" i="289"/>
  <c r="A18" i="289" s="1"/>
  <c r="A19" i="289" s="1"/>
  <c r="A20" i="289" s="1"/>
  <c r="A21" i="289" s="1"/>
  <c r="A22" i="289" s="1"/>
  <c r="A23" i="289" s="1"/>
  <c r="A24" i="289" s="1"/>
  <c r="A25" i="289" s="1"/>
  <c r="A26" i="289" s="1"/>
  <c r="A27" i="289" s="1"/>
  <c r="A28" i="289" s="1"/>
  <c r="A29" i="289" s="1"/>
  <c r="H17" i="289"/>
  <c r="I17" i="289" s="1"/>
  <c r="F17" i="289"/>
  <c r="G17" i="289" s="1"/>
  <c r="H23" i="289"/>
  <c r="I23" i="289" s="1"/>
  <c r="F23" i="289"/>
  <c r="G23" i="289" s="1"/>
  <c r="H22" i="289"/>
  <c r="I22" i="289" s="1"/>
  <c r="F22" i="289"/>
  <c r="G22" i="289" s="1"/>
  <c r="H21" i="289"/>
  <c r="I21" i="289" s="1"/>
  <c r="F21" i="289"/>
  <c r="G21" i="289" s="1"/>
  <c r="H20" i="289"/>
  <c r="I20" i="289" s="1"/>
  <c r="F20" i="289"/>
  <c r="G20" i="289" s="1"/>
  <c r="H19" i="289"/>
  <c r="I19" i="289" s="1"/>
  <c r="F19" i="289"/>
  <c r="G19" i="289" s="1"/>
  <c r="H18" i="289"/>
  <c r="I18" i="289" s="1"/>
  <c r="F18" i="289"/>
  <c r="G18" i="289" s="1"/>
  <c r="H26" i="289"/>
  <c r="I26" i="289" s="1"/>
  <c r="F26" i="289"/>
  <c r="G26" i="289" s="1"/>
  <c r="H25" i="289"/>
  <c r="I25" i="289" s="1"/>
  <c r="F25" i="289"/>
  <c r="G25" i="289" s="1"/>
  <c r="H24" i="289"/>
  <c r="I24" i="289" s="1"/>
  <c r="F24" i="289"/>
  <c r="G24" i="289" s="1"/>
  <c r="R34" i="289"/>
  <c r="Q33" i="289"/>
  <c r="O33" i="289"/>
  <c r="M31" i="289"/>
  <c r="M33" i="289" s="1"/>
  <c r="D31" i="289"/>
  <c r="M30" i="289"/>
  <c r="N30" i="289" s="1"/>
  <c r="O30" i="289" s="1"/>
  <c r="H30" i="289"/>
  <c r="I30" i="289" s="1"/>
  <c r="F30" i="289"/>
  <c r="G30" i="289" s="1"/>
  <c r="H29" i="289"/>
  <c r="I29" i="289" s="1"/>
  <c r="F29" i="289"/>
  <c r="G29" i="289" s="1"/>
  <c r="H28" i="289"/>
  <c r="I28" i="289" s="1"/>
  <c r="F28" i="289"/>
  <c r="G28" i="289" s="1"/>
  <c r="H27" i="289"/>
  <c r="I27" i="289" s="1"/>
  <c r="F27" i="289"/>
  <c r="G27" i="289" s="1"/>
  <c r="M16" i="289"/>
  <c r="N16" i="289" s="1"/>
  <c r="O16" i="289" s="1"/>
  <c r="H16" i="289"/>
  <c r="I16" i="289" s="1"/>
  <c r="F16" i="289"/>
  <c r="G16" i="289" s="1"/>
  <c r="G16" i="293" l="1"/>
  <c r="G18" i="293" s="1"/>
  <c r="G16" i="290"/>
  <c r="G18" i="290" s="1"/>
  <c r="P33" i="289"/>
  <c r="R33" i="289" s="1"/>
  <c r="G16" i="292"/>
  <c r="G18" i="292" s="1"/>
  <c r="F19" i="291"/>
  <c r="I19" i="291"/>
  <c r="G16" i="291"/>
  <c r="G19" i="291" s="1"/>
  <c r="I18" i="290"/>
  <c r="F31" i="289"/>
  <c r="I31" i="289"/>
  <c r="G31" i="289"/>
  <c r="O31" i="289"/>
  <c r="D21" i="288" l="1"/>
  <c r="H20" i="288"/>
  <c r="I20" i="288" s="1"/>
  <c r="F20" i="288"/>
  <c r="G20" i="288" s="1"/>
  <c r="H19" i="288"/>
  <c r="I19" i="288" s="1"/>
  <c r="F19" i="288"/>
  <c r="G19" i="288" s="1"/>
  <c r="H18" i="288"/>
  <c r="I18" i="288" s="1"/>
  <c r="F18" i="288"/>
  <c r="G18" i="288" s="1"/>
  <c r="H17" i="288"/>
  <c r="I17" i="288" s="1"/>
  <c r="F17" i="288"/>
  <c r="G17" i="288" s="1"/>
  <c r="H16" i="288"/>
  <c r="I16" i="288" s="1"/>
  <c r="F16" i="288"/>
  <c r="F21" i="288" l="1"/>
  <c r="I21" i="288"/>
  <c r="G16" i="288"/>
  <c r="G21" i="288" s="1"/>
  <c r="D17" i="287"/>
  <c r="H16" i="287"/>
  <c r="I16" i="287" s="1"/>
  <c r="I17" i="287" s="1"/>
  <c r="F16" i="287"/>
  <c r="F17" i="287" s="1"/>
  <c r="G16" i="287" l="1"/>
  <c r="G17" i="287" s="1"/>
  <c r="D21" i="286"/>
  <c r="I19" i="286"/>
  <c r="F19" i="286"/>
  <c r="G19" i="286" s="1"/>
  <c r="I18" i="286"/>
  <c r="F18" i="286"/>
  <c r="G18" i="286" s="1"/>
  <c r="I17" i="286"/>
  <c r="F17" i="286"/>
  <c r="G17" i="286" s="1"/>
  <c r="A17" i="286"/>
  <c r="A18" i="286" s="1"/>
  <c r="A19" i="286" s="1"/>
  <c r="F16" i="286"/>
  <c r="G16" i="286" s="1"/>
  <c r="G21" i="286" l="1"/>
  <c r="I16" i="286"/>
  <c r="I21" i="286" s="1"/>
  <c r="F21" i="286"/>
  <c r="D18" i="285"/>
  <c r="G16" i="285"/>
  <c r="G18" i="285" s="1"/>
  <c r="F16" i="285"/>
  <c r="F18" i="285" s="1"/>
  <c r="D36" i="284"/>
  <c r="I34" i="284"/>
  <c r="I33" i="284"/>
  <c r="I32" i="284"/>
  <c r="I31" i="284"/>
  <c r="I30" i="284"/>
  <c r="I29" i="284"/>
  <c r="I28" i="284"/>
  <c r="I27" i="284"/>
  <c r="I26" i="284"/>
  <c r="I25" i="284"/>
  <c r="I24" i="284"/>
  <c r="I23" i="284"/>
  <c r="I22" i="284"/>
  <c r="I21" i="284"/>
  <c r="I20" i="284"/>
  <c r="I19" i="284"/>
  <c r="I18" i="284"/>
  <c r="I17" i="284"/>
  <c r="F33" i="284"/>
  <c r="G33" i="284" s="1"/>
  <c r="F34" i="284"/>
  <c r="G34" i="284" s="1"/>
  <c r="F32" i="284"/>
  <c r="G32" i="284" s="1"/>
  <c r="F31" i="284"/>
  <c r="G31" i="284" s="1"/>
  <c r="F30" i="284"/>
  <c r="G30" i="284" s="1"/>
  <c r="F29" i="284"/>
  <c r="G29" i="284" s="1"/>
  <c r="F28" i="284"/>
  <c r="G28" i="284" s="1"/>
  <c r="F27" i="284"/>
  <c r="G27" i="284" s="1"/>
  <c r="F26" i="284"/>
  <c r="G26" i="284" s="1"/>
  <c r="F25" i="284"/>
  <c r="G25" i="284" s="1"/>
  <c r="F24" i="284"/>
  <c r="G24" i="284" s="1"/>
  <c r="F23" i="284"/>
  <c r="G23" i="284" s="1"/>
  <c r="F22" i="284"/>
  <c r="G22" i="284" s="1"/>
  <c r="F21" i="284"/>
  <c r="G21" i="284" s="1"/>
  <c r="F20" i="284"/>
  <c r="G20" i="284" s="1"/>
  <c r="F19" i="284"/>
  <c r="G19" i="284" s="1"/>
  <c r="F18" i="284"/>
  <c r="G18" i="284" s="1"/>
  <c r="F17" i="284"/>
  <c r="G17" i="284" s="1"/>
  <c r="A17" i="284"/>
  <c r="A18" i="284" s="1"/>
  <c r="A19" i="284" s="1"/>
  <c r="A20" i="284" s="1"/>
  <c r="A21" i="284" s="1"/>
  <c r="A22" i="284" s="1"/>
  <c r="A23" i="284" s="1"/>
  <c r="A24" i="284" s="1"/>
  <c r="A25" i="284" s="1"/>
  <c r="A26" i="284" s="1"/>
  <c r="A27" i="284" s="1"/>
  <c r="A28" i="284" s="1"/>
  <c r="A29" i="284" s="1"/>
  <c r="A30" i="284" s="1"/>
  <c r="A31" i="284" s="1"/>
  <c r="A32" i="284" s="1"/>
  <c r="A34" i="284" s="1"/>
  <c r="F16" i="284"/>
  <c r="G16" i="284" s="1"/>
  <c r="F36" i="284" l="1"/>
  <c r="H16" i="285"/>
  <c r="I16" i="285" s="1"/>
  <c r="I18" i="285" s="1"/>
  <c r="A33" i="284"/>
  <c r="G36" i="284"/>
  <c r="I16" i="284"/>
  <c r="I36" i="284" s="1"/>
  <c r="R21" i="283" l="1"/>
  <c r="Q20" i="283"/>
  <c r="O20" i="283"/>
  <c r="M18" i="283"/>
  <c r="M20" i="283" s="1"/>
  <c r="D18" i="283"/>
  <c r="M17" i="283"/>
  <c r="N17" i="283" s="1"/>
  <c r="O17" i="283" s="1"/>
  <c r="H17" i="283"/>
  <c r="I17" i="283" s="1"/>
  <c r="F17" i="283"/>
  <c r="G17" i="283" s="1"/>
  <c r="M16" i="283"/>
  <c r="N16" i="283" s="1"/>
  <c r="O16" i="283" s="1"/>
  <c r="H16" i="283"/>
  <c r="I16" i="283" s="1"/>
  <c r="F16" i="283"/>
  <c r="P20" i="283" l="1"/>
  <c r="R20" i="283" s="1"/>
  <c r="I18" i="283"/>
  <c r="F18" i="283"/>
  <c r="G16" i="283"/>
  <c r="G18" i="283" s="1"/>
  <c r="O18" i="283"/>
  <c r="D17" i="282"/>
  <c r="H16" i="282"/>
  <c r="I16" i="282" s="1"/>
  <c r="I17" i="282" s="1"/>
  <c r="F16" i="282"/>
  <c r="F17" i="282" s="1"/>
  <c r="G16" i="282" l="1"/>
  <c r="G17" i="282" s="1"/>
  <c r="H20" i="281"/>
  <c r="I20" i="281" s="1"/>
  <c r="F20" i="281"/>
  <c r="G20" i="281" s="1"/>
  <c r="H19" i="281"/>
  <c r="I19" i="281" s="1"/>
  <c r="F19" i="281"/>
  <c r="G19" i="281" s="1"/>
  <c r="R25" i="281"/>
  <c r="Q24" i="281"/>
  <c r="O24" i="281"/>
  <c r="M22" i="281"/>
  <c r="M24" i="281" s="1"/>
  <c r="D22" i="281"/>
  <c r="M21" i="281"/>
  <c r="N21" i="281" s="1"/>
  <c r="O21" i="281" s="1"/>
  <c r="H21" i="281"/>
  <c r="I21" i="281" s="1"/>
  <c r="F21" i="281"/>
  <c r="G21" i="281" s="1"/>
  <c r="H18" i="281"/>
  <c r="I18" i="281" s="1"/>
  <c r="F18" i="281"/>
  <c r="G18" i="281" s="1"/>
  <c r="H17" i="281"/>
  <c r="I17" i="281" s="1"/>
  <c r="F17" i="281"/>
  <c r="G17" i="281" s="1"/>
  <c r="M16" i="281"/>
  <c r="N16" i="281" s="1"/>
  <c r="O16" i="281" s="1"/>
  <c r="H16" i="281"/>
  <c r="I16" i="281" s="1"/>
  <c r="F16" i="281"/>
  <c r="G16" i="281" s="1"/>
  <c r="P24" i="281" l="1"/>
  <c r="R24" i="281" s="1"/>
  <c r="I22" i="281"/>
  <c r="G22" i="281"/>
  <c r="O22" i="281"/>
  <c r="F22" i="281"/>
  <c r="D112" i="280"/>
  <c r="H17" i="280"/>
  <c r="I17" i="280" s="1"/>
  <c r="I109" i="280"/>
  <c r="I108" i="280"/>
  <c r="I105" i="280"/>
  <c r="I104" i="280"/>
  <c r="I97" i="280"/>
  <c r="I96" i="280"/>
  <c r="I93" i="280"/>
  <c r="I92" i="280"/>
  <c r="I89" i="280"/>
  <c r="I84" i="280"/>
  <c r="I68" i="280"/>
  <c r="I64" i="280"/>
  <c r="I52" i="280"/>
  <c r="I49" i="280"/>
  <c r="I48" i="280"/>
  <c r="I45" i="280"/>
  <c r="I44" i="280"/>
  <c r="I41" i="280"/>
  <c r="I40" i="280"/>
  <c r="I37" i="280"/>
  <c r="I36" i="280"/>
  <c r="I28" i="280"/>
  <c r="I24" i="280"/>
  <c r="F110" i="280"/>
  <c r="G110" i="280" s="1"/>
  <c r="F109" i="280"/>
  <c r="G109" i="280" s="1"/>
  <c r="F108" i="280"/>
  <c r="G108" i="280" s="1"/>
  <c r="F107" i="280"/>
  <c r="G107" i="280" s="1"/>
  <c r="H107" i="280" s="1"/>
  <c r="I107" i="280" s="1"/>
  <c r="F106" i="280"/>
  <c r="G106" i="280" s="1"/>
  <c r="F105" i="280"/>
  <c r="G105" i="280" s="1"/>
  <c r="F104" i="280"/>
  <c r="G104" i="280" s="1"/>
  <c r="F103" i="280"/>
  <c r="G103" i="280" s="1"/>
  <c r="H103" i="280" s="1"/>
  <c r="I103" i="280" s="1"/>
  <c r="F102" i="280"/>
  <c r="G102" i="280" s="1"/>
  <c r="F101" i="280"/>
  <c r="G101" i="280" s="1"/>
  <c r="H101" i="280" s="1"/>
  <c r="I101" i="280" s="1"/>
  <c r="F100" i="280"/>
  <c r="G100" i="280" s="1"/>
  <c r="F99" i="280"/>
  <c r="G99" i="280" s="1"/>
  <c r="H99" i="280" s="1"/>
  <c r="I99" i="280" s="1"/>
  <c r="F98" i="280"/>
  <c r="G98" i="280" s="1"/>
  <c r="F97" i="280"/>
  <c r="G97" i="280" s="1"/>
  <c r="F96" i="280"/>
  <c r="G96" i="280" s="1"/>
  <c r="F95" i="280"/>
  <c r="G95" i="280" s="1"/>
  <c r="F94" i="280"/>
  <c r="G94" i="280" s="1"/>
  <c r="F93" i="280"/>
  <c r="G93" i="280" s="1"/>
  <c r="F92" i="280"/>
  <c r="G92" i="280" s="1"/>
  <c r="F91" i="280"/>
  <c r="G91" i="280" s="1"/>
  <c r="F90" i="280"/>
  <c r="G90" i="280" s="1"/>
  <c r="F89" i="280"/>
  <c r="G89" i="280" s="1"/>
  <c r="F88" i="280"/>
  <c r="G88" i="280" s="1"/>
  <c r="H88" i="280" s="1"/>
  <c r="I88" i="280" s="1"/>
  <c r="F87" i="280"/>
  <c r="G87" i="280" s="1"/>
  <c r="H87" i="280" s="1"/>
  <c r="I87" i="280" s="1"/>
  <c r="F86" i="280"/>
  <c r="G86" i="280" s="1"/>
  <c r="F85" i="280"/>
  <c r="G85" i="280" s="1"/>
  <c r="F84" i="280"/>
  <c r="G84" i="280" s="1"/>
  <c r="F83" i="280"/>
  <c r="G83" i="280" s="1"/>
  <c r="F82" i="280"/>
  <c r="G82" i="280" s="1"/>
  <c r="H82" i="280" s="1"/>
  <c r="I82" i="280" s="1"/>
  <c r="F81" i="280"/>
  <c r="G81" i="280" s="1"/>
  <c r="F80" i="280"/>
  <c r="G80" i="280" s="1"/>
  <c r="F79" i="280"/>
  <c r="G79" i="280" s="1"/>
  <c r="F78" i="280"/>
  <c r="G78" i="280" s="1"/>
  <c r="F77" i="280"/>
  <c r="G77" i="280" s="1"/>
  <c r="F76" i="280"/>
  <c r="G76" i="280" s="1"/>
  <c r="F75" i="280"/>
  <c r="G75" i="280" s="1"/>
  <c r="F74" i="280"/>
  <c r="G74" i="280" s="1"/>
  <c r="F73" i="280"/>
  <c r="G73" i="280" s="1"/>
  <c r="H73" i="280" s="1"/>
  <c r="I73" i="280" s="1"/>
  <c r="F72" i="280"/>
  <c r="G72" i="280" s="1"/>
  <c r="H72" i="280" s="1"/>
  <c r="I72" i="280" s="1"/>
  <c r="F71" i="280"/>
  <c r="G71" i="280" s="1"/>
  <c r="H71" i="280" s="1"/>
  <c r="I71" i="280" s="1"/>
  <c r="F70" i="280"/>
  <c r="G70" i="280" s="1"/>
  <c r="F69" i="280"/>
  <c r="G69" i="280" s="1"/>
  <c r="F68" i="280"/>
  <c r="G68" i="280" s="1"/>
  <c r="F67" i="280"/>
  <c r="G67" i="280" s="1"/>
  <c r="F66" i="280"/>
  <c r="G66" i="280" s="1"/>
  <c r="F65" i="280"/>
  <c r="G65" i="280" s="1"/>
  <c r="F64" i="280"/>
  <c r="G64" i="280" s="1"/>
  <c r="F63" i="280"/>
  <c r="G63" i="280" s="1"/>
  <c r="F62" i="280"/>
  <c r="G62" i="280" s="1"/>
  <c r="H62" i="280" s="1"/>
  <c r="I62" i="280" s="1"/>
  <c r="F61" i="280"/>
  <c r="G61" i="280" s="1"/>
  <c r="H61" i="280" s="1"/>
  <c r="I61" i="280" s="1"/>
  <c r="F60" i="280"/>
  <c r="G60" i="280" s="1"/>
  <c r="H60" i="280" s="1"/>
  <c r="I60" i="280" s="1"/>
  <c r="F59" i="280"/>
  <c r="G59" i="280" s="1"/>
  <c r="H59" i="280" s="1"/>
  <c r="I59" i="280" s="1"/>
  <c r="F58" i="280"/>
  <c r="G58" i="280" s="1"/>
  <c r="H58" i="280" s="1"/>
  <c r="I58" i="280" s="1"/>
  <c r="F57" i="280"/>
  <c r="G57" i="280" s="1"/>
  <c r="F56" i="280"/>
  <c r="G56" i="280" s="1"/>
  <c r="F55" i="280"/>
  <c r="G55" i="280" s="1"/>
  <c r="F54" i="280"/>
  <c r="G54" i="280" s="1"/>
  <c r="F53" i="280"/>
  <c r="G53" i="280" s="1"/>
  <c r="H53" i="280" s="1"/>
  <c r="I53" i="280" s="1"/>
  <c r="F52" i="280"/>
  <c r="G52" i="280" s="1"/>
  <c r="F51" i="280"/>
  <c r="G51" i="280" s="1"/>
  <c r="F50" i="280"/>
  <c r="G50" i="280" s="1"/>
  <c r="F49" i="280"/>
  <c r="G49" i="280" s="1"/>
  <c r="F48" i="280"/>
  <c r="G48" i="280" s="1"/>
  <c r="F47" i="280"/>
  <c r="G47" i="280" s="1"/>
  <c r="F46" i="280"/>
  <c r="G46" i="280" s="1"/>
  <c r="F45" i="280"/>
  <c r="G45" i="280" s="1"/>
  <c r="F44" i="280"/>
  <c r="G44" i="280" s="1"/>
  <c r="F43" i="280"/>
  <c r="G43" i="280" s="1"/>
  <c r="F42" i="280"/>
  <c r="G42" i="280" s="1"/>
  <c r="F41" i="280"/>
  <c r="G41" i="280" s="1"/>
  <c r="F40" i="280"/>
  <c r="G40" i="280" s="1"/>
  <c r="F39" i="280"/>
  <c r="G39" i="280" s="1"/>
  <c r="H39" i="280" s="1"/>
  <c r="I39" i="280" s="1"/>
  <c r="F38" i="280"/>
  <c r="G38" i="280" s="1"/>
  <c r="F37" i="280"/>
  <c r="G37" i="280" s="1"/>
  <c r="F36" i="280"/>
  <c r="G36" i="280" s="1"/>
  <c r="F35" i="280"/>
  <c r="G35" i="280" s="1"/>
  <c r="F34" i="280"/>
  <c r="G34" i="280" s="1"/>
  <c r="H34" i="280" s="1"/>
  <c r="I34" i="280" s="1"/>
  <c r="F33" i="280"/>
  <c r="G33" i="280" s="1"/>
  <c r="H33" i="280" s="1"/>
  <c r="I33" i="280" s="1"/>
  <c r="F32" i="280"/>
  <c r="G32" i="280" s="1"/>
  <c r="H32" i="280" s="1"/>
  <c r="I32" i="280" s="1"/>
  <c r="F31" i="280"/>
  <c r="G31" i="280" s="1"/>
  <c r="H31" i="280" s="1"/>
  <c r="I31" i="280" s="1"/>
  <c r="F30" i="280"/>
  <c r="G30" i="280" s="1"/>
  <c r="H30" i="280" s="1"/>
  <c r="I30" i="280" s="1"/>
  <c r="F29" i="280"/>
  <c r="G29" i="280" s="1"/>
  <c r="F28" i="280"/>
  <c r="G28" i="280" s="1"/>
  <c r="F27" i="280"/>
  <c r="G27" i="280" s="1"/>
  <c r="F26" i="280"/>
  <c r="G26" i="280" s="1"/>
  <c r="F25" i="280"/>
  <c r="G25" i="280" s="1"/>
  <c r="F24" i="280"/>
  <c r="G24" i="280" s="1"/>
  <c r="F23" i="280"/>
  <c r="G23" i="280" s="1"/>
  <c r="F22" i="280"/>
  <c r="G22" i="280" s="1"/>
  <c r="F21" i="280"/>
  <c r="G21" i="280" s="1"/>
  <c r="F20" i="280"/>
  <c r="G20" i="280" s="1"/>
  <c r="H20" i="280" s="1"/>
  <c r="I20" i="280" s="1"/>
  <c r="F19" i="280"/>
  <c r="G19" i="280" s="1"/>
  <c r="H19" i="280" s="1"/>
  <c r="I19" i="280" s="1"/>
  <c r="F18" i="280"/>
  <c r="G18" i="280" s="1"/>
  <c r="A17" i="280"/>
  <c r="A18" i="280" s="1"/>
  <c r="A19" i="280" s="1"/>
  <c r="A20" i="280" s="1"/>
  <c r="A21" i="280" s="1"/>
  <c r="A22" i="280" s="1"/>
  <c r="A23" i="280" s="1"/>
  <c r="A24" i="280" s="1"/>
  <c r="A25" i="280" s="1"/>
  <c r="A26" i="280" s="1"/>
  <c r="A27" i="280" s="1"/>
  <c r="A28" i="280" s="1"/>
  <c r="A29" i="280" s="1"/>
  <c r="A30" i="280" s="1"/>
  <c r="A31" i="280" s="1"/>
  <c r="A32" i="280" s="1"/>
  <c r="A33" i="280" s="1"/>
  <c r="A34" i="280" s="1"/>
  <c r="A35" i="280" s="1"/>
  <c r="A36" i="280" s="1"/>
  <c r="A37" i="280" s="1"/>
  <c r="A38" i="280" s="1"/>
  <c r="A39" i="280" s="1"/>
  <c r="A40" i="280" s="1"/>
  <c r="A41" i="280" s="1"/>
  <c r="A42" i="280" s="1"/>
  <c r="A43" i="280" s="1"/>
  <c r="A44" i="280" s="1"/>
  <c r="A45" i="280" s="1"/>
  <c r="A46" i="280" s="1"/>
  <c r="A47" i="280" s="1"/>
  <c r="A48" i="280" s="1"/>
  <c r="A49" i="280" s="1"/>
  <c r="A50" i="280" s="1"/>
  <c r="A51" i="280" s="1"/>
  <c r="A52" i="280" s="1"/>
  <c r="A53" i="280" s="1"/>
  <c r="A54" i="280" s="1"/>
  <c r="A55" i="280" s="1"/>
  <c r="A56" i="280" s="1"/>
  <c r="A57" i="280" s="1"/>
  <c r="A58" i="280" s="1"/>
  <c r="A59" i="280" s="1"/>
  <c r="A60" i="280" s="1"/>
  <c r="A61" i="280" s="1"/>
  <c r="A62" i="280" s="1"/>
  <c r="A63" i="280" s="1"/>
  <c r="A64" i="280" s="1"/>
  <c r="A65" i="280" s="1"/>
  <c r="A66" i="280" s="1"/>
  <c r="A67" i="280" s="1"/>
  <c r="A68" i="280" s="1"/>
  <c r="A69" i="280" s="1"/>
  <c r="A70" i="280" s="1"/>
  <c r="A71" i="280" s="1"/>
  <c r="A72" i="280" s="1"/>
  <c r="A73" i="280" s="1"/>
  <c r="A74" i="280" s="1"/>
  <c r="A75" i="280" s="1"/>
  <c r="A76" i="280" s="1"/>
  <c r="A77" i="280" s="1"/>
  <c r="A78" i="280" s="1"/>
  <c r="A79" i="280" s="1"/>
  <c r="A80" i="280" s="1"/>
  <c r="A81" i="280" s="1"/>
  <c r="A82" i="280" s="1"/>
  <c r="A83" i="280" s="1"/>
  <c r="A84" i="280" s="1"/>
  <c r="A85" i="280" s="1"/>
  <c r="A86" i="280" s="1"/>
  <c r="A87" i="280" s="1"/>
  <c r="A88" i="280" s="1"/>
  <c r="A89" i="280" s="1"/>
  <c r="A90" i="280" s="1"/>
  <c r="A91" i="280" s="1"/>
  <c r="A92" i="280" s="1"/>
  <c r="A93" i="280" s="1"/>
  <c r="A94" i="280" s="1"/>
  <c r="A95" i="280" s="1"/>
  <c r="A96" i="280" s="1"/>
  <c r="A97" i="280" s="1"/>
  <c r="A98" i="280" s="1"/>
  <c r="A99" i="280" s="1"/>
  <c r="A100" i="280" s="1"/>
  <c r="A101" i="280" s="1"/>
  <c r="A102" i="280" s="1"/>
  <c r="A103" i="280" s="1"/>
  <c r="A104" i="280" s="1"/>
  <c r="A105" i="280" s="1"/>
  <c r="A106" i="280" s="1"/>
  <c r="A107" i="280" s="1"/>
  <c r="A108" i="280" s="1"/>
  <c r="A109" i="280" s="1"/>
  <c r="A110" i="280" s="1"/>
  <c r="G112" i="280" l="1"/>
  <c r="F112" i="280"/>
  <c r="I51" i="280"/>
  <c r="I95" i="280"/>
  <c r="I35" i="280"/>
  <c r="I16" i="280"/>
  <c r="I76" i="280"/>
  <c r="I43" i="280"/>
  <c r="I56" i="280"/>
  <c r="I80" i="280"/>
  <c r="I100" i="280"/>
  <c r="I47" i="280"/>
  <c r="I91" i="280"/>
  <c r="I21" i="280"/>
  <c r="I25" i="280"/>
  <c r="I29" i="280"/>
  <c r="I65" i="280"/>
  <c r="I69" i="280"/>
  <c r="I85" i="280"/>
  <c r="I55" i="280"/>
  <c r="I75" i="280"/>
  <c r="I79" i="280"/>
  <c r="I18" i="280"/>
  <c r="I38" i="280"/>
  <c r="I42" i="280"/>
  <c r="I46" i="280"/>
  <c r="I50" i="280"/>
  <c r="I90" i="280"/>
  <c r="I94" i="280"/>
  <c r="I98" i="280"/>
  <c r="I106" i="280"/>
  <c r="I110" i="280"/>
  <c r="I22" i="280"/>
  <c r="I26" i="280"/>
  <c r="I57" i="280"/>
  <c r="I66" i="280"/>
  <c r="I70" i="280"/>
  <c r="I77" i="280"/>
  <c r="I81" i="280"/>
  <c r="I86" i="280"/>
  <c r="I102" i="280"/>
  <c r="I23" i="280"/>
  <c r="I27" i="280"/>
  <c r="I54" i="280"/>
  <c r="I63" i="280"/>
  <c r="I67" i="280"/>
  <c r="I74" i="280"/>
  <c r="I78" i="280"/>
  <c r="I83" i="280"/>
  <c r="I112" i="280" l="1"/>
  <c r="H17" i="279"/>
  <c r="I17" i="279" s="1"/>
  <c r="H16" i="279"/>
  <c r="I16" i="279" s="1"/>
  <c r="D19" i="279"/>
  <c r="F17" i="279"/>
  <c r="G17" i="279" s="1"/>
  <c r="F16" i="279"/>
  <c r="G16" i="279" s="1"/>
  <c r="H18" i="278"/>
  <c r="I18" i="278" s="1"/>
  <c r="H16" i="278"/>
  <c r="I16" i="278" s="1"/>
  <c r="D20" i="278"/>
  <c r="F18" i="278"/>
  <c r="G18" i="278" s="1"/>
  <c r="H17" i="278"/>
  <c r="I17" i="278" s="1"/>
  <c r="F17" i="278"/>
  <c r="G17" i="278" s="1"/>
  <c r="F16" i="278"/>
  <c r="H16" i="277"/>
  <c r="I16" i="277" s="1"/>
  <c r="I18" i="277" s="1"/>
  <c r="D18" i="277"/>
  <c r="F16" i="277"/>
  <c r="F18" i="277" s="1"/>
  <c r="F20" i="278" l="1"/>
  <c r="F19" i="279"/>
  <c r="I19" i="279"/>
  <c r="G19" i="279"/>
  <c r="G16" i="278"/>
  <c r="G20" i="278" s="1"/>
  <c r="I20" i="278"/>
  <c r="G16" i="277"/>
  <c r="G18" i="277" s="1"/>
  <c r="H16" i="276"/>
  <c r="I16" i="276" s="1"/>
  <c r="H18" i="276"/>
  <c r="I18" i="276" s="1"/>
  <c r="H17" i="276"/>
  <c r="I17" i="276" s="1"/>
  <c r="F17" i="276"/>
  <c r="G17" i="276" s="1"/>
  <c r="F18" i="276"/>
  <c r="G18" i="276" s="1"/>
  <c r="D20" i="276"/>
  <c r="F16" i="276"/>
  <c r="G16" i="276" s="1"/>
  <c r="F20" i="276" l="1"/>
  <c r="I20" i="276"/>
  <c r="G20" i="276"/>
  <c r="R23" i="275"/>
  <c r="Q22" i="275"/>
  <c r="O22" i="275"/>
  <c r="M20" i="275"/>
  <c r="O20" i="275" s="1"/>
  <c r="D20" i="275"/>
  <c r="M19" i="275"/>
  <c r="N19" i="275" s="1"/>
  <c r="O19" i="275" s="1"/>
  <c r="H19" i="275"/>
  <c r="I19" i="275" s="1"/>
  <c r="F19" i="275"/>
  <c r="G19" i="275" s="1"/>
  <c r="M18" i="275"/>
  <c r="N18" i="275" s="1"/>
  <c r="O18" i="275" s="1"/>
  <c r="H18" i="275"/>
  <c r="I18" i="275" s="1"/>
  <c r="F18" i="275"/>
  <c r="G18" i="275" s="1"/>
  <c r="M17" i="275"/>
  <c r="N17" i="275" s="1"/>
  <c r="O17" i="275" s="1"/>
  <c r="H17" i="275"/>
  <c r="I17" i="275" s="1"/>
  <c r="F17" i="275"/>
  <c r="G17" i="275" s="1"/>
  <c r="M16" i="275"/>
  <c r="N16" i="275" s="1"/>
  <c r="O16" i="275" s="1"/>
  <c r="H16" i="275"/>
  <c r="I16" i="275" s="1"/>
  <c r="F16" i="275"/>
  <c r="H18" i="274"/>
  <c r="H17" i="274"/>
  <c r="I17" i="274" s="1"/>
  <c r="H16" i="274"/>
  <c r="I16" i="274" s="1"/>
  <c r="R23" i="274"/>
  <c r="Q22" i="274"/>
  <c r="O22" i="274"/>
  <c r="M20" i="274"/>
  <c r="M22" i="274" s="1"/>
  <c r="D20" i="274"/>
  <c r="M19" i="274"/>
  <c r="N19" i="274" s="1"/>
  <c r="O19" i="274" s="1"/>
  <c r="H19" i="274"/>
  <c r="I19" i="274" s="1"/>
  <c r="F19" i="274"/>
  <c r="G19" i="274" s="1"/>
  <c r="M18" i="274"/>
  <c r="N18" i="274" s="1"/>
  <c r="O18" i="274" s="1"/>
  <c r="I18" i="274"/>
  <c r="F18" i="274"/>
  <c r="G18" i="274" s="1"/>
  <c r="M17" i="274"/>
  <c r="N17" i="274" s="1"/>
  <c r="O17" i="274" s="1"/>
  <c r="F17" i="274"/>
  <c r="G17" i="274" s="1"/>
  <c r="M16" i="274"/>
  <c r="N16" i="274" s="1"/>
  <c r="O16" i="274" s="1"/>
  <c r="F16" i="274"/>
  <c r="F20" i="275" l="1"/>
  <c r="P22" i="274"/>
  <c r="R22" i="274" s="1"/>
  <c r="G16" i="275"/>
  <c r="G20" i="275" s="1"/>
  <c r="M22" i="275"/>
  <c r="P22" i="275" s="1"/>
  <c r="R22" i="275" s="1"/>
  <c r="I20" i="275"/>
  <c r="F20" i="274"/>
  <c r="G16" i="274"/>
  <c r="G20" i="274" s="1"/>
  <c r="I20" i="274"/>
  <c r="O20" i="274"/>
  <c r="D19" i="273"/>
  <c r="H17" i="273"/>
  <c r="I17" i="273" s="1"/>
  <c r="F17" i="273"/>
  <c r="G17" i="273" s="1"/>
  <c r="H16" i="273"/>
  <c r="I16" i="273" s="1"/>
  <c r="F16" i="273"/>
  <c r="G16" i="273" s="1"/>
  <c r="G19" i="273" l="1"/>
  <c r="I19" i="273"/>
  <c r="F19" i="273"/>
  <c r="R23" i="272"/>
  <c r="Q22" i="272"/>
  <c r="O22" i="272"/>
  <c r="M20" i="272"/>
  <c r="M22" i="272" s="1"/>
  <c r="D20" i="272"/>
  <c r="M19" i="272"/>
  <c r="N19" i="272" s="1"/>
  <c r="O19" i="272" s="1"/>
  <c r="H19" i="272"/>
  <c r="I19" i="272" s="1"/>
  <c r="F19" i="272"/>
  <c r="G19" i="272" s="1"/>
  <c r="H18" i="272"/>
  <c r="I18" i="272" s="1"/>
  <c r="F18" i="272"/>
  <c r="G18" i="272" s="1"/>
  <c r="H17" i="272"/>
  <c r="I17" i="272" s="1"/>
  <c r="F17" i="272"/>
  <c r="G17" i="272" s="1"/>
  <c r="M16" i="272"/>
  <c r="N16" i="272" s="1"/>
  <c r="O16" i="272" s="1"/>
  <c r="H16" i="272"/>
  <c r="I16" i="272" s="1"/>
  <c r="F16" i="272"/>
  <c r="G16" i="272" s="1"/>
  <c r="F20" i="272" l="1"/>
  <c r="G20" i="272"/>
  <c r="I20" i="272"/>
  <c r="P22" i="272"/>
  <c r="R22" i="272" s="1"/>
  <c r="O20" i="272"/>
  <c r="H27" i="270" l="1"/>
  <c r="H26" i="270"/>
  <c r="H16" i="270"/>
  <c r="A17" i="270" l="1"/>
  <c r="A18" i="270" s="1"/>
  <c r="A19" i="270" s="1"/>
  <c r="A20" i="270" s="1"/>
  <c r="A21" i="270" s="1"/>
  <c r="A22" i="270" s="1"/>
  <c r="A23" i="270" s="1"/>
  <c r="A24" i="270" s="1"/>
  <c r="A25" i="270" s="1"/>
  <c r="A26" i="270" s="1"/>
  <c r="A27" i="270" s="1"/>
  <c r="A28" i="270" s="1"/>
  <c r="H22" i="270"/>
  <c r="I22" i="270" s="1"/>
  <c r="F22" i="270"/>
  <c r="G22" i="270" s="1"/>
  <c r="H21" i="270"/>
  <c r="I21" i="270" s="1"/>
  <c r="F21" i="270"/>
  <c r="G21" i="270" s="1"/>
  <c r="H20" i="270"/>
  <c r="I20" i="270" s="1"/>
  <c r="F20" i="270"/>
  <c r="G20" i="270" s="1"/>
  <c r="H19" i="270"/>
  <c r="I19" i="270" s="1"/>
  <c r="F19" i="270"/>
  <c r="G19" i="270" s="1"/>
  <c r="H18" i="270"/>
  <c r="I18" i="270" s="1"/>
  <c r="F18" i="270"/>
  <c r="G18" i="270" s="1"/>
  <c r="H17" i="270"/>
  <c r="I17" i="270" s="1"/>
  <c r="F17" i="270"/>
  <c r="G17" i="270" s="1"/>
  <c r="H25" i="270"/>
  <c r="I25" i="270" s="1"/>
  <c r="F25" i="270"/>
  <c r="G25" i="270" s="1"/>
  <c r="H24" i="270"/>
  <c r="I24" i="270" s="1"/>
  <c r="F24" i="270"/>
  <c r="G24" i="270" s="1"/>
  <c r="H23" i="270"/>
  <c r="I23" i="270" s="1"/>
  <c r="F23" i="270"/>
  <c r="G23" i="270" s="1"/>
  <c r="F26" i="270"/>
  <c r="G26" i="270" s="1"/>
  <c r="I26" i="270"/>
  <c r="F27" i="270"/>
  <c r="G27" i="270" s="1"/>
  <c r="I27" i="270"/>
  <c r="F28" i="270"/>
  <c r="G28" i="270" s="1"/>
  <c r="H28" i="270"/>
  <c r="I28" i="270" s="1"/>
  <c r="D30" i="270"/>
  <c r="H29" i="270"/>
  <c r="I29" i="270" s="1"/>
  <c r="F29" i="270"/>
  <c r="G29" i="270" s="1"/>
  <c r="I16" i="270"/>
  <c r="F16" i="270"/>
  <c r="G16" i="270" s="1"/>
  <c r="I30" i="270" l="1"/>
  <c r="F30" i="270"/>
  <c r="G30" i="270"/>
  <c r="D18" i="269"/>
  <c r="H17" i="269"/>
  <c r="I17" i="269" s="1"/>
  <c r="F17" i="269"/>
  <c r="G17" i="269" s="1"/>
  <c r="H16" i="269"/>
  <c r="I16" i="269" s="1"/>
  <c r="I18" i="269" s="1"/>
  <c r="F16" i="269"/>
  <c r="F18" i="269" s="1"/>
  <c r="G16" i="269" l="1"/>
  <c r="G18" i="269" s="1"/>
  <c r="D21" i="268"/>
  <c r="H20" i="268"/>
  <c r="I20" i="268" s="1"/>
  <c r="F20" i="268"/>
  <c r="G20" i="268" s="1"/>
  <c r="H19" i="268"/>
  <c r="I19" i="268" s="1"/>
  <c r="F19" i="268"/>
  <c r="G19" i="268" s="1"/>
  <c r="H18" i="268"/>
  <c r="I18" i="268" s="1"/>
  <c r="F18" i="268"/>
  <c r="G18" i="268" s="1"/>
  <c r="H17" i="268"/>
  <c r="I17" i="268" s="1"/>
  <c r="F17" i="268"/>
  <c r="G17" i="268" s="1"/>
  <c r="H16" i="268"/>
  <c r="I16" i="268" s="1"/>
  <c r="F16" i="268"/>
  <c r="D21" i="267"/>
  <c r="H20" i="267"/>
  <c r="I20" i="267" s="1"/>
  <c r="F20" i="267"/>
  <c r="G20" i="267" s="1"/>
  <c r="H19" i="267"/>
  <c r="I19" i="267" s="1"/>
  <c r="F19" i="267"/>
  <c r="G19" i="267" s="1"/>
  <c r="H18" i="267"/>
  <c r="I18" i="267" s="1"/>
  <c r="F18" i="267"/>
  <c r="G18" i="267" s="1"/>
  <c r="H17" i="267"/>
  <c r="I17" i="267" s="1"/>
  <c r="F17" i="267"/>
  <c r="G17" i="267" s="1"/>
  <c r="H16" i="267"/>
  <c r="I16" i="267" s="1"/>
  <c r="F16" i="267"/>
  <c r="G16" i="267" s="1"/>
  <c r="D18" i="266"/>
  <c r="H17" i="266"/>
  <c r="I17" i="266" s="1"/>
  <c r="F17" i="266"/>
  <c r="G17" i="266" s="1"/>
  <c r="H16" i="266"/>
  <c r="I16" i="266" s="1"/>
  <c r="F16" i="266"/>
  <c r="H20" i="258"/>
  <c r="I20" i="258" s="1"/>
  <c r="F20" i="258"/>
  <c r="G20" i="258" s="1"/>
  <c r="F21" i="268" l="1"/>
  <c r="I21" i="268"/>
  <c r="G16" i="268"/>
  <c r="G21" i="268" s="1"/>
  <c r="F18" i="266"/>
  <c r="I21" i="267"/>
  <c r="F21" i="267"/>
  <c r="G21" i="267"/>
  <c r="I18" i="266"/>
  <c r="G16" i="266"/>
  <c r="G18" i="266" s="1"/>
  <c r="D18" i="265" l="1"/>
  <c r="H16" i="265"/>
  <c r="I16" i="265" s="1"/>
  <c r="I18" i="265" s="1"/>
  <c r="F16" i="265"/>
  <c r="F18" i="265" s="1"/>
  <c r="H16" i="264"/>
  <c r="I16" i="264" s="1"/>
  <c r="I18" i="264" s="1"/>
  <c r="D18" i="264"/>
  <c r="F16" i="264"/>
  <c r="G16" i="265" l="1"/>
  <c r="G18" i="265" s="1"/>
  <c r="G16" i="264"/>
  <c r="G18" i="264" s="1"/>
  <c r="F18" i="264"/>
  <c r="D18" i="263"/>
  <c r="H16" i="263"/>
  <c r="I16" i="263" s="1"/>
  <c r="I18" i="263" s="1"/>
  <c r="F16" i="263"/>
  <c r="F18" i="263" s="1"/>
  <c r="D18" i="262"/>
  <c r="H16" i="262"/>
  <c r="I16" i="262" s="1"/>
  <c r="I18" i="262" s="1"/>
  <c r="F16" i="262"/>
  <c r="F18" i="262" s="1"/>
  <c r="G16" i="263" l="1"/>
  <c r="G18" i="263" s="1"/>
  <c r="G16" i="262"/>
  <c r="G18" i="262" s="1"/>
  <c r="D17" i="261"/>
  <c r="H16" i="261"/>
  <c r="I16" i="261" s="1"/>
  <c r="I17" i="261" s="1"/>
  <c r="F16" i="261"/>
  <c r="F17" i="261" s="1"/>
  <c r="G16" i="261" l="1"/>
  <c r="G17" i="261" s="1"/>
  <c r="H21" i="228" l="1"/>
  <c r="D24" i="229"/>
  <c r="H18" i="229"/>
  <c r="F18" i="229"/>
  <c r="G18" i="229" s="1"/>
  <c r="F19" i="229"/>
  <c r="D17" i="260" l="1"/>
  <c r="H16" i="260"/>
  <c r="I16" i="260" s="1"/>
  <c r="I17" i="260" s="1"/>
  <c r="F16" i="260"/>
  <c r="F17" i="260" s="1"/>
  <c r="G16" i="260" l="1"/>
  <c r="G17" i="260" s="1"/>
  <c r="H16" i="259" l="1"/>
  <c r="I16" i="259" s="1"/>
  <c r="D17" i="259"/>
  <c r="F16" i="259"/>
  <c r="F17" i="259" s="1"/>
  <c r="G16" i="259" l="1"/>
  <c r="G17" i="259" s="1"/>
  <c r="I17" i="259"/>
  <c r="D24" i="258"/>
  <c r="H19" i="258"/>
  <c r="I19" i="258" s="1"/>
  <c r="F19" i="258"/>
  <c r="G19" i="258" s="1"/>
  <c r="H18" i="258"/>
  <c r="I18" i="258" s="1"/>
  <c r="F18" i="258"/>
  <c r="G18" i="258" s="1"/>
  <c r="H17" i="258"/>
  <c r="I17" i="258" s="1"/>
  <c r="F17" i="258"/>
  <c r="G17" i="258" s="1"/>
  <c r="H23" i="258" l="1"/>
  <c r="I23" i="258" s="1"/>
  <c r="F23" i="258"/>
  <c r="G23" i="258" s="1"/>
  <c r="H22" i="258"/>
  <c r="I22" i="258" s="1"/>
  <c r="F22" i="258"/>
  <c r="G22" i="258" s="1"/>
  <c r="H21" i="258"/>
  <c r="I21" i="258" s="1"/>
  <c r="F21" i="258"/>
  <c r="G21" i="258" s="1"/>
  <c r="H16" i="258"/>
  <c r="I16" i="258" s="1"/>
  <c r="F16" i="258"/>
  <c r="D20" i="257"/>
  <c r="H19" i="257"/>
  <c r="I19" i="257" s="1"/>
  <c r="F19" i="257"/>
  <c r="G19" i="257" s="1"/>
  <c r="H18" i="257"/>
  <c r="I18" i="257" s="1"/>
  <c r="F18" i="257"/>
  <c r="G18" i="257" s="1"/>
  <c r="H17" i="257"/>
  <c r="I17" i="257" s="1"/>
  <c r="F17" i="257"/>
  <c r="G17" i="257" s="1"/>
  <c r="H16" i="257"/>
  <c r="I16" i="257" s="1"/>
  <c r="F16" i="257"/>
  <c r="H18" i="256"/>
  <c r="I18" i="256" s="1"/>
  <c r="F18" i="256"/>
  <c r="G18" i="256" s="1"/>
  <c r="H17" i="256"/>
  <c r="I17" i="256" s="1"/>
  <c r="F17" i="256"/>
  <c r="G17" i="256" s="1"/>
  <c r="H20" i="256"/>
  <c r="I20" i="256" s="1"/>
  <c r="F20" i="256"/>
  <c r="G20" i="256" s="1"/>
  <c r="H19" i="256"/>
  <c r="I19" i="256" s="1"/>
  <c r="F19" i="256"/>
  <c r="G19" i="256" s="1"/>
  <c r="H21" i="256"/>
  <c r="I21" i="256" s="1"/>
  <c r="F21" i="256"/>
  <c r="G21" i="256" s="1"/>
  <c r="D24" i="256"/>
  <c r="H23" i="256"/>
  <c r="I23" i="256" s="1"/>
  <c r="F23" i="256"/>
  <c r="G23" i="256" s="1"/>
  <c r="H22" i="256"/>
  <c r="I22" i="256" s="1"/>
  <c r="F22" i="256"/>
  <c r="G22" i="256" s="1"/>
  <c r="H16" i="256"/>
  <c r="I16" i="256" s="1"/>
  <c r="F16" i="256"/>
  <c r="D18" i="255"/>
  <c r="H17" i="255"/>
  <c r="I17" i="255" s="1"/>
  <c r="F17" i="255"/>
  <c r="G17" i="255" s="1"/>
  <c r="H16" i="255"/>
  <c r="I16" i="255" s="1"/>
  <c r="F16" i="255"/>
  <c r="M18" i="254"/>
  <c r="N18" i="254" s="1"/>
  <c r="H18" i="254"/>
  <c r="I18" i="254" s="1"/>
  <c r="F18" i="254"/>
  <c r="G18" i="254" s="1"/>
  <c r="M17" i="254"/>
  <c r="N17" i="254" s="1"/>
  <c r="H17" i="254"/>
  <c r="I17" i="254" s="1"/>
  <c r="F17" i="254"/>
  <c r="G17" i="254" s="1"/>
  <c r="R24" i="254"/>
  <c r="Q23" i="254"/>
  <c r="O23" i="254"/>
  <c r="M21" i="254"/>
  <c r="M23" i="254" s="1"/>
  <c r="D21" i="254"/>
  <c r="M20" i="254"/>
  <c r="H20" i="254"/>
  <c r="I20" i="254" s="1"/>
  <c r="F20" i="254"/>
  <c r="G20" i="254" s="1"/>
  <c r="M19" i="254"/>
  <c r="N19" i="254" s="1"/>
  <c r="N20" i="254" s="1"/>
  <c r="O20" i="254" s="1"/>
  <c r="H19" i="254"/>
  <c r="I19" i="254" s="1"/>
  <c r="F19" i="254"/>
  <c r="G19" i="254" s="1"/>
  <c r="H16" i="254"/>
  <c r="I16" i="254" s="1"/>
  <c r="F16" i="254"/>
  <c r="D18" i="253"/>
  <c r="H17" i="253"/>
  <c r="I17" i="253" s="1"/>
  <c r="F17" i="253"/>
  <c r="G17" i="253" s="1"/>
  <c r="H16" i="253"/>
  <c r="I16" i="253" s="1"/>
  <c r="F16" i="253"/>
  <c r="D19" i="252"/>
  <c r="H18" i="252"/>
  <c r="I18" i="252" s="1"/>
  <c r="F18" i="252"/>
  <c r="G18" i="252" s="1"/>
  <c r="H17" i="252"/>
  <c r="I17" i="252" s="1"/>
  <c r="F17" i="252"/>
  <c r="G17" i="252" s="1"/>
  <c r="H16" i="252"/>
  <c r="I16" i="252" s="1"/>
  <c r="F16" i="252"/>
  <c r="I24" i="258" l="1"/>
  <c r="G16" i="258"/>
  <c r="G24" i="258" s="1"/>
  <c r="F24" i="258"/>
  <c r="I20" i="257"/>
  <c r="F20" i="257"/>
  <c r="G16" i="257"/>
  <c r="G20" i="257" s="1"/>
  <c r="F24" i="256"/>
  <c r="I24" i="256"/>
  <c r="G16" i="256"/>
  <c r="G24" i="256" s="1"/>
  <c r="P23" i="254"/>
  <c r="R23" i="254" s="1"/>
  <c r="I18" i="255"/>
  <c r="F18" i="255"/>
  <c r="G16" i="255"/>
  <c r="G18" i="255" s="1"/>
  <c r="F21" i="254"/>
  <c r="G16" i="254"/>
  <c r="G21" i="254" s="1"/>
  <c r="I21" i="254"/>
  <c r="O21" i="254"/>
  <c r="F18" i="253"/>
  <c r="I18" i="253"/>
  <c r="G16" i="253"/>
  <c r="G18" i="253" s="1"/>
  <c r="F19" i="252"/>
  <c r="I19" i="252"/>
  <c r="G16" i="252"/>
  <c r="G19" i="252" s="1"/>
  <c r="H16" i="251"/>
  <c r="I16" i="251" s="1"/>
  <c r="R21" i="251"/>
  <c r="Q20" i="251"/>
  <c r="O20" i="251"/>
  <c r="M18" i="251"/>
  <c r="M20" i="251" s="1"/>
  <c r="D18" i="251"/>
  <c r="M17" i="251"/>
  <c r="N17" i="251" s="1"/>
  <c r="O17" i="251" s="1"/>
  <c r="H17" i="251"/>
  <c r="I17" i="251" s="1"/>
  <c r="F17" i="251"/>
  <c r="G17" i="251" s="1"/>
  <c r="M16" i="251"/>
  <c r="N16" i="251" s="1"/>
  <c r="O16" i="251" s="1"/>
  <c r="F16" i="251"/>
  <c r="G16" i="251" s="1"/>
  <c r="P20" i="251" l="1"/>
  <c r="R20" i="251" s="1"/>
  <c r="O18" i="251"/>
  <c r="I18" i="251"/>
  <c r="G18" i="251"/>
  <c r="F18" i="251"/>
  <c r="R23" i="250"/>
  <c r="Q22" i="250"/>
  <c r="O22" i="250"/>
  <c r="M20" i="250"/>
  <c r="M22" i="250" s="1"/>
  <c r="D20" i="250"/>
  <c r="M19" i="250"/>
  <c r="N19" i="250" s="1"/>
  <c r="O19" i="250" s="1"/>
  <c r="H19" i="250"/>
  <c r="I19" i="250" s="1"/>
  <c r="F19" i="250"/>
  <c r="G19" i="250" s="1"/>
  <c r="H18" i="250"/>
  <c r="I18" i="250" s="1"/>
  <c r="F18" i="250"/>
  <c r="G18" i="250" s="1"/>
  <c r="H17" i="250"/>
  <c r="I17" i="250" s="1"/>
  <c r="F17" i="250"/>
  <c r="G17" i="250" s="1"/>
  <c r="M16" i="250"/>
  <c r="N16" i="250" s="1"/>
  <c r="O16" i="250" s="1"/>
  <c r="H16" i="250"/>
  <c r="I16" i="250" s="1"/>
  <c r="F16" i="250"/>
  <c r="G16" i="250" s="1"/>
  <c r="R23" i="248"/>
  <c r="Q22" i="248"/>
  <c r="O22" i="248"/>
  <c r="M20" i="248"/>
  <c r="M22" i="248" s="1"/>
  <c r="D20" i="248"/>
  <c r="M19" i="248"/>
  <c r="N19" i="248" s="1"/>
  <c r="O19" i="248" s="1"/>
  <c r="H19" i="248"/>
  <c r="I19" i="248" s="1"/>
  <c r="F19" i="248"/>
  <c r="G19" i="248" s="1"/>
  <c r="H18" i="248"/>
  <c r="I18" i="248" s="1"/>
  <c r="F18" i="248"/>
  <c r="G18" i="248" s="1"/>
  <c r="H17" i="248"/>
  <c r="I17" i="248" s="1"/>
  <c r="F17" i="248"/>
  <c r="G17" i="248" s="1"/>
  <c r="M16" i="248"/>
  <c r="N16" i="248" s="1"/>
  <c r="O16" i="248" s="1"/>
  <c r="H16" i="248"/>
  <c r="I16" i="248" s="1"/>
  <c r="F16" i="248"/>
  <c r="G16" i="248" s="1"/>
  <c r="P22" i="250" l="1"/>
  <c r="R22" i="250" s="1"/>
  <c r="P22" i="248"/>
  <c r="R22" i="248" s="1"/>
  <c r="G20" i="250"/>
  <c r="I20" i="250"/>
  <c r="F20" i="250"/>
  <c r="O20" i="250"/>
  <c r="G20" i="248"/>
  <c r="I20" i="248"/>
  <c r="F20" i="248"/>
  <c r="O20" i="248"/>
  <c r="D18" i="247"/>
  <c r="H17" i="247"/>
  <c r="I17" i="247" s="1"/>
  <c r="F17" i="247"/>
  <c r="G17" i="247" s="1"/>
  <c r="H16" i="247"/>
  <c r="I16" i="247" s="1"/>
  <c r="F16" i="247"/>
  <c r="F18" i="247" s="1"/>
  <c r="D21" i="246"/>
  <c r="H20" i="246"/>
  <c r="I20" i="246" s="1"/>
  <c r="F20" i="246"/>
  <c r="G20" i="246" s="1"/>
  <c r="H19" i="246"/>
  <c r="I19" i="246" s="1"/>
  <c r="F19" i="246"/>
  <c r="G19" i="246" s="1"/>
  <c r="H18" i="246"/>
  <c r="I18" i="246" s="1"/>
  <c r="F18" i="246"/>
  <c r="G18" i="246" s="1"/>
  <c r="H17" i="246"/>
  <c r="I17" i="246" s="1"/>
  <c r="F17" i="246"/>
  <c r="G17" i="246" s="1"/>
  <c r="H16" i="246"/>
  <c r="I16" i="246" s="1"/>
  <c r="F16" i="246"/>
  <c r="G16" i="246" s="1"/>
  <c r="A17" i="246"/>
  <c r="A18" i="246" s="1"/>
  <c r="A19" i="246" s="1"/>
  <c r="D18" i="245"/>
  <c r="H16" i="245"/>
  <c r="I16" i="245" s="1"/>
  <c r="I18" i="245" s="1"/>
  <c r="F16" i="245"/>
  <c r="F18" i="245" s="1"/>
  <c r="H17" i="244"/>
  <c r="I17" i="244" s="1"/>
  <c r="F17" i="244"/>
  <c r="G17" i="244" s="1"/>
  <c r="H18" i="244"/>
  <c r="I18" i="244" s="1"/>
  <c r="F18" i="244"/>
  <c r="G18" i="244" s="1"/>
  <c r="H19" i="244"/>
  <c r="I19" i="244" s="1"/>
  <c r="F19" i="244"/>
  <c r="G19" i="244" s="1"/>
  <c r="D21" i="244"/>
  <c r="H16" i="244"/>
  <c r="I16" i="244" s="1"/>
  <c r="F16" i="244"/>
  <c r="G16" i="247" l="1"/>
  <c r="G18" i="247" s="1"/>
  <c r="I18" i="247"/>
  <c r="F21" i="246"/>
  <c r="I21" i="246"/>
  <c r="G21" i="246"/>
  <c r="G16" i="245"/>
  <c r="G18" i="245" s="1"/>
  <c r="I21" i="244"/>
  <c r="F21" i="244"/>
  <c r="G16" i="244"/>
  <c r="G21" i="244" s="1"/>
  <c r="M19" i="243"/>
  <c r="N19" i="243" s="1"/>
  <c r="O19" i="243" s="1"/>
  <c r="H19" i="243"/>
  <c r="I19" i="243" s="1"/>
  <c r="F19" i="243"/>
  <c r="G19" i="243" s="1"/>
  <c r="M18" i="243"/>
  <c r="N18" i="243" s="1"/>
  <c r="O18" i="243" s="1"/>
  <c r="H18" i="243"/>
  <c r="I18" i="243" s="1"/>
  <c r="F18" i="243"/>
  <c r="G18" i="243" s="1"/>
  <c r="M17" i="243"/>
  <c r="N17" i="243" s="1"/>
  <c r="O17" i="243" s="1"/>
  <c r="H17" i="243"/>
  <c r="I17" i="243" s="1"/>
  <c r="F17" i="243"/>
  <c r="G17" i="243" s="1"/>
  <c r="M16" i="243"/>
  <c r="N16" i="243" s="1"/>
  <c r="O16" i="243" s="1"/>
  <c r="H16" i="243"/>
  <c r="I16" i="243" s="1"/>
  <c r="F16" i="243"/>
  <c r="G16" i="243" s="1"/>
  <c r="M21" i="243"/>
  <c r="N21" i="243" s="1"/>
  <c r="O21" i="243" s="1"/>
  <c r="H21" i="243"/>
  <c r="I21" i="243" s="1"/>
  <c r="F21" i="243"/>
  <c r="G21" i="243" s="1"/>
  <c r="M20" i="243"/>
  <c r="N20" i="243" s="1"/>
  <c r="O20" i="243" s="1"/>
  <c r="H20" i="243"/>
  <c r="I20" i="243" s="1"/>
  <c r="F20" i="243"/>
  <c r="G20" i="243" s="1"/>
  <c r="R27" i="243"/>
  <c r="Q26" i="243"/>
  <c r="O26" i="243"/>
  <c r="M24" i="243"/>
  <c r="M26" i="243" s="1"/>
  <c r="D24" i="243"/>
  <c r="M23" i="243"/>
  <c r="N23" i="243" s="1"/>
  <c r="O23" i="243" s="1"/>
  <c r="H23" i="243"/>
  <c r="I23" i="243" s="1"/>
  <c r="F23" i="243"/>
  <c r="G23" i="243" s="1"/>
  <c r="M22" i="243"/>
  <c r="N22" i="243" s="1"/>
  <c r="O22" i="243" s="1"/>
  <c r="H22" i="243"/>
  <c r="I22" i="243" s="1"/>
  <c r="F22" i="243"/>
  <c r="G22" i="243" s="1"/>
  <c r="G24" i="243" l="1"/>
  <c r="I24" i="243"/>
  <c r="F24" i="243"/>
  <c r="P26" i="243"/>
  <c r="R26" i="243" s="1"/>
  <c r="O24" i="243"/>
  <c r="D18" i="242"/>
  <c r="H17" i="242"/>
  <c r="I17" i="242" s="1"/>
  <c r="F17" i="242"/>
  <c r="G17" i="242" s="1"/>
  <c r="H16" i="242"/>
  <c r="I16" i="242" s="1"/>
  <c r="F16" i="242"/>
  <c r="G16" i="242" s="1"/>
  <c r="D32" i="241"/>
  <c r="H30" i="241"/>
  <c r="I30" i="241" s="1"/>
  <c r="F30" i="241"/>
  <c r="G30" i="241" s="1"/>
  <c r="H29" i="241"/>
  <c r="I29" i="241" s="1"/>
  <c r="F29" i="241"/>
  <c r="G29" i="241" s="1"/>
  <c r="H28" i="241"/>
  <c r="I28" i="241" s="1"/>
  <c r="F28" i="241"/>
  <c r="G28" i="241" s="1"/>
  <c r="H27" i="241"/>
  <c r="I27" i="241" s="1"/>
  <c r="F27" i="241"/>
  <c r="G27" i="241" s="1"/>
  <c r="H26" i="241"/>
  <c r="I26" i="241" s="1"/>
  <c r="F26" i="241"/>
  <c r="G26" i="241" s="1"/>
  <c r="H25" i="241"/>
  <c r="I25" i="241" s="1"/>
  <c r="F25" i="241"/>
  <c r="G25" i="241" s="1"/>
  <c r="H24" i="241"/>
  <c r="I24" i="241" s="1"/>
  <c r="F24" i="241"/>
  <c r="G24" i="241" s="1"/>
  <c r="H23" i="241"/>
  <c r="I23" i="241" s="1"/>
  <c r="F23" i="241"/>
  <c r="G23" i="241" s="1"/>
  <c r="H22" i="241"/>
  <c r="I22" i="241" s="1"/>
  <c r="F22" i="241"/>
  <c r="G22" i="241" s="1"/>
  <c r="H21" i="241"/>
  <c r="I21" i="241" s="1"/>
  <c r="F21" i="241"/>
  <c r="G21" i="241" s="1"/>
  <c r="H20" i="241"/>
  <c r="I20" i="241" s="1"/>
  <c r="F20" i="241"/>
  <c r="G20" i="241" s="1"/>
  <c r="H19" i="241"/>
  <c r="I19" i="241" s="1"/>
  <c r="F19" i="241"/>
  <c r="G19" i="241" s="1"/>
  <c r="H18" i="241"/>
  <c r="I18" i="241" s="1"/>
  <c r="F18" i="241"/>
  <c r="G18" i="241" s="1"/>
  <c r="H17" i="241"/>
  <c r="I17" i="241" s="1"/>
  <c r="F17" i="241"/>
  <c r="G17" i="241" s="1"/>
  <c r="A17" i="241"/>
  <c r="A18" i="241" s="1"/>
  <c r="A19" i="241" s="1"/>
  <c r="A20" i="241" s="1"/>
  <c r="A21" i="241" s="1"/>
  <c r="A22" i="241" s="1"/>
  <c r="A23" i="241" s="1"/>
  <c r="A24" i="241" s="1"/>
  <c r="A25" i="241" s="1"/>
  <c r="A26" i="241" s="1"/>
  <c r="A27" i="241" s="1"/>
  <c r="A28" i="241" s="1"/>
  <c r="A29" i="241" s="1"/>
  <c r="A30" i="241" s="1"/>
  <c r="H31" i="241"/>
  <c r="I31" i="241" s="1"/>
  <c r="F31" i="241"/>
  <c r="G31" i="241" s="1"/>
  <c r="H16" i="241"/>
  <c r="I16" i="241" s="1"/>
  <c r="F16" i="241"/>
  <c r="I32" i="241" l="1"/>
  <c r="G18" i="242"/>
  <c r="I18" i="242"/>
  <c r="F18" i="242"/>
  <c r="F32" i="241"/>
  <c r="G16" i="241"/>
  <c r="G32" i="241" s="1"/>
  <c r="D18" i="240"/>
  <c r="H17" i="240"/>
  <c r="I17" i="240" s="1"/>
  <c r="F17" i="240"/>
  <c r="G17" i="240" s="1"/>
  <c r="H16" i="240"/>
  <c r="I16" i="240" s="1"/>
  <c r="I18" i="240" s="1"/>
  <c r="F16" i="240"/>
  <c r="G16" i="240" s="1"/>
  <c r="G18" i="240" s="1"/>
  <c r="F18" i="240" l="1"/>
  <c r="D18" i="239"/>
  <c r="H16" i="239"/>
  <c r="I16" i="239" s="1"/>
  <c r="F16" i="239"/>
  <c r="F18" i="239" s="1"/>
  <c r="I18" i="239" l="1"/>
  <c r="G16" i="239"/>
  <c r="G18" i="239" s="1"/>
  <c r="F18" i="238"/>
  <c r="G18" i="238" s="1"/>
  <c r="D20" i="238"/>
  <c r="H18" i="238"/>
  <c r="I18" i="238" s="1"/>
  <c r="H17" i="238"/>
  <c r="I17" i="238" s="1"/>
  <c r="F17" i="238"/>
  <c r="G17" i="238" s="1"/>
  <c r="H16" i="238"/>
  <c r="I16" i="238" s="1"/>
  <c r="F16" i="238"/>
  <c r="G16" i="238" s="1"/>
  <c r="I20" i="238" l="1"/>
  <c r="F20" i="238"/>
  <c r="G20" i="238"/>
  <c r="H17" i="237"/>
  <c r="I17" i="237" s="1"/>
  <c r="F17" i="237"/>
  <c r="G17" i="237" s="1"/>
  <c r="H18" i="237"/>
  <c r="I18" i="237" s="1"/>
  <c r="F18" i="237"/>
  <c r="G18" i="237" s="1"/>
  <c r="H19" i="237"/>
  <c r="I19" i="237" s="1"/>
  <c r="F19" i="237"/>
  <c r="G19" i="237" s="1"/>
  <c r="D21" i="237"/>
  <c r="H16" i="237"/>
  <c r="I16" i="237" s="1"/>
  <c r="F16" i="237"/>
  <c r="F21" i="237" l="1"/>
  <c r="I21" i="237"/>
  <c r="G16" i="237"/>
  <c r="G21" i="237" s="1"/>
  <c r="H18" i="236"/>
  <c r="I18" i="236" s="1"/>
  <c r="R23" i="236"/>
  <c r="Q22" i="236"/>
  <c r="O22" i="236"/>
  <c r="M20" i="236"/>
  <c r="M22" i="236" s="1"/>
  <c r="D20" i="236"/>
  <c r="M19" i="236"/>
  <c r="N19" i="236" s="1"/>
  <c r="O19" i="236" s="1"/>
  <c r="H19" i="236"/>
  <c r="I19" i="236" s="1"/>
  <c r="F19" i="236"/>
  <c r="G19" i="236" s="1"/>
  <c r="M18" i="236"/>
  <c r="N18" i="236" s="1"/>
  <c r="O18" i="236" s="1"/>
  <c r="F18" i="236"/>
  <c r="G18" i="236" s="1"/>
  <c r="M17" i="236"/>
  <c r="N17" i="236" s="1"/>
  <c r="O17" i="236" s="1"/>
  <c r="H17" i="236"/>
  <c r="I17" i="236" s="1"/>
  <c r="F17" i="236"/>
  <c r="G17" i="236" s="1"/>
  <c r="M16" i="236"/>
  <c r="N16" i="236" s="1"/>
  <c r="O16" i="236" s="1"/>
  <c r="H16" i="236"/>
  <c r="I16" i="236" s="1"/>
  <c r="F16" i="236"/>
  <c r="G16" i="236" s="1"/>
  <c r="P22" i="236" l="1"/>
  <c r="R22" i="236" s="1"/>
  <c r="G20" i="236"/>
  <c r="I20" i="236"/>
  <c r="F20" i="236"/>
  <c r="O20" i="236"/>
  <c r="R22" i="235"/>
  <c r="Q21" i="235"/>
  <c r="O21" i="235"/>
  <c r="M19" i="235"/>
  <c r="M21" i="235" s="1"/>
  <c r="D19" i="235"/>
  <c r="M18" i="235"/>
  <c r="H18" i="235"/>
  <c r="I18" i="235" s="1"/>
  <c r="F18" i="235"/>
  <c r="G18" i="235" s="1"/>
  <c r="M17" i="235"/>
  <c r="N17" i="235" s="1"/>
  <c r="N18" i="235" s="1"/>
  <c r="O18" i="235" s="1"/>
  <c r="H17" i="235"/>
  <c r="I17" i="235" s="1"/>
  <c r="F17" i="235"/>
  <c r="G17" i="235" s="1"/>
  <c r="H16" i="235"/>
  <c r="I16" i="235" s="1"/>
  <c r="F16" i="235"/>
  <c r="G16" i="235" s="1"/>
  <c r="R21" i="234"/>
  <c r="Q20" i="234"/>
  <c r="O20" i="234"/>
  <c r="M18" i="234"/>
  <c r="M20" i="234" s="1"/>
  <c r="D18" i="234"/>
  <c r="M17" i="234"/>
  <c r="H17" i="234"/>
  <c r="I17" i="234" s="1"/>
  <c r="F17" i="234"/>
  <c r="G17" i="234" s="1"/>
  <c r="M16" i="234"/>
  <c r="N16" i="234" s="1"/>
  <c r="H16" i="234"/>
  <c r="I16" i="234" s="1"/>
  <c r="F16" i="234"/>
  <c r="P20" i="234" l="1"/>
  <c r="R20" i="234" s="1"/>
  <c r="G19" i="235"/>
  <c r="F18" i="234"/>
  <c r="P21" i="235"/>
  <c r="R21" i="235" s="1"/>
  <c r="I19" i="235"/>
  <c r="F19" i="235"/>
  <c r="O19" i="235"/>
  <c r="G16" i="234"/>
  <c r="G18" i="234" s="1"/>
  <c r="I18" i="234"/>
  <c r="N17" i="234"/>
  <c r="O17" i="234" s="1"/>
  <c r="O18" i="234"/>
  <c r="D22" i="233"/>
  <c r="H17" i="233"/>
  <c r="I17" i="233" s="1"/>
  <c r="F17" i="233"/>
  <c r="G17" i="233" s="1"/>
  <c r="H16" i="233"/>
  <c r="I16" i="233" s="1"/>
  <c r="F16" i="233"/>
  <c r="G16" i="233" s="1"/>
  <c r="H19" i="233"/>
  <c r="I19" i="233" s="1"/>
  <c r="F19" i="233"/>
  <c r="G19" i="233" s="1"/>
  <c r="H18" i="233"/>
  <c r="I18" i="233" s="1"/>
  <c r="F18" i="233"/>
  <c r="G18" i="233" s="1"/>
  <c r="H20" i="233"/>
  <c r="I20" i="233" s="1"/>
  <c r="F20" i="233"/>
  <c r="G20" i="233" s="1"/>
  <c r="H21" i="233"/>
  <c r="I21" i="233" s="1"/>
  <c r="F21" i="233"/>
  <c r="G21" i="233" s="1"/>
  <c r="F22" i="233" l="1"/>
  <c r="G22" i="233"/>
  <c r="I22" i="233"/>
  <c r="D17" i="232" l="1"/>
  <c r="H16" i="232"/>
  <c r="I16" i="232" s="1"/>
  <c r="I17" i="232" s="1"/>
  <c r="F16" i="232"/>
  <c r="F17" i="232" s="1"/>
  <c r="D17" i="231"/>
  <c r="H16" i="231"/>
  <c r="I16" i="231" s="1"/>
  <c r="I17" i="231" s="1"/>
  <c r="F16" i="231"/>
  <c r="F17" i="231" s="1"/>
  <c r="D18" i="230"/>
  <c r="H17" i="230"/>
  <c r="I17" i="230" s="1"/>
  <c r="F17" i="230"/>
  <c r="G17" i="230" s="1"/>
  <c r="H16" i="230"/>
  <c r="I16" i="230" s="1"/>
  <c r="F16" i="230"/>
  <c r="G16" i="230" s="1"/>
  <c r="G16" i="232" l="1"/>
  <c r="G17" i="232" s="1"/>
  <c r="G16" i="231"/>
  <c r="G17" i="231" s="1"/>
  <c r="F18" i="230"/>
  <c r="I18" i="230"/>
  <c r="G18" i="230"/>
  <c r="H22" i="229" l="1"/>
  <c r="I22" i="229" s="1"/>
  <c r="F22" i="229"/>
  <c r="G22" i="229" s="1"/>
  <c r="H21" i="229"/>
  <c r="I21" i="229" s="1"/>
  <c r="F21" i="229"/>
  <c r="G21" i="229" s="1"/>
  <c r="H20" i="229"/>
  <c r="I20" i="229" s="1"/>
  <c r="F20" i="229"/>
  <c r="G20" i="229" s="1"/>
  <c r="H19" i="229"/>
  <c r="I19" i="229" s="1"/>
  <c r="G19" i="229"/>
  <c r="H17" i="229"/>
  <c r="I17" i="229" s="1"/>
  <c r="F17" i="229"/>
  <c r="G17" i="229" s="1"/>
  <c r="H16" i="229"/>
  <c r="I16" i="229" s="1"/>
  <c r="F16" i="229"/>
  <c r="F24" i="229" l="1"/>
  <c r="G16" i="229"/>
  <c r="G24" i="229" s="1"/>
  <c r="D25" i="228" l="1"/>
  <c r="H23" i="228"/>
  <c r="I23" i="228" s="1"/>
  <c r="F23" i="228"/>
  <c r="G23" i="228" s="1"/>
  <c r="H22" i="228"/>
  <c r="I22" i="228" s="1"/>
  <c r="F22" i="228"/>
  <c r="G22" i="228" s="1"/>
  <c r="I21" i="228"/>
  <c r="F21" i="228"/>
  <c r="G21" i="228" s="1"/>
  <c r="H20" i="228"/>
  <c r="I20" i="228" s="1"/>
  <c r="F20" i="228"/>
  <c r="G20" i="228" s="1"/>
  <c r="H19" i="228"/>
  <c r="I19" i="228" s="1"/>
  <c r="F19" i="228"/>
  <c r="G19" i="228" s="1"/>
  <c r="H18" i="228"/>
  <c r="I18" i="228" s="1"/>
  <c r="F18" i="228"/>
  <c r="G18" i="228" s="1"/>
  <c r="H17" i="228"/>
  <c r="I17" i="228" s="1"/>
  <c r="F17" i="228"/>
  <c r="G17" i="228" s="1"/>
  <c r="H16" i="228"/>
  <c r="I16" i="228" s="1"/>
  <c r="F16" i="228"/>
  <c r="D18" i="227"/>
  <c r="H16" i="227"/>
  <c r="I16" i="227" s="1"/>
  <c r="I18" i="227" s="1"/>
  <c r="F16" i="227"/>
  <c r="G16" i="227" s="1"/>
  <c r="G18" i="227" s="1"/>
  <c r="F25" i="228" l="1"/>
  <c r="I25" i="228"/>
  <c r="G16" i="228"/>
  <c r="G25" i="228" s="1"/>
  <c r="F18" i="227"/>
  <c r="D25" i="222"/>
  <c r="H16" i="226"/>
  <c r="I16" i="226" s="1"/>
  <c r="I18" i="226" s="1"/>
  <c r="D18" i="226"/>
  <c r="F16" i="226"/>
  <c r="F18" i="226" s="1"/>
  <c r="G16" i="226" l="1"/>
  <c r="G18" i="226" s="1"/>
  <c r="H17" i="225"/>
  <c r="I17" i="225" s="1"/>
  <c r="D19" i="225"/>
  <c r="F17" i="225"/>
  <c r="G17" i="225" s="1"/>
  <c r="H16" i="225"/>
  <c r="I16" i="225" s="1"/>
  <c r="F16" i="225"/>
  <c r="G16" i="225" s="1"/>
  <c r="H17" i="224"/>
  <c r="I17" i="224" s="1"/>
  <c r="F17" i="224"/>
  <c r="G17" i="224" s="1"/>
  <c r="D19" i="224"/>
  <c r="H16" i="224"/>
  <c r="I16" i="224" s="1"/>
  <c r="F16" i="224"/>
  <c r="G19" i="225" l="1"/>
  <c r="I19" i="225"/>
  <c r="F19" i="225"/>
  <c r="F19" i="224"/>
  <c r="I19" i="224"/>
  <c r="G16" i="224"/>
  <c r="G19" i="224" s="1"/>
  <c r="D21" i="223"/>
  <c r="H20" i="223"/>
  <c r="I20" i="223" s="1"/>
  <c r="F20" i="223"/>
  <c r="G20" i="223" s="1"/>
  <c r="H19" i="223"/>
  <c r="I19" i="223" s="1"/>
  <c r="F19" i="223"/>
  <c r="G19" i="223" s="1"/>
  <c r="H18" i="223"/>
  <c r="I18" i="223" s="1"/>
  <c r="F18" i="223"/>
  <c r="G18" i="223" s="1"/>
  <c r="H17" i="223"/>
  <c r="I17" i="223" s="1"/>
  <c r="F17" i="223"/>
  <c r="G17" i="223" s="1"/>
  <c r="A17" i="223"/>
  <c r="A18" i="223" s="1"/>
  <c r="A19" i="223" s="1"/>
  <c r="H16" i="223"/>
  <c r="I16" i="223" s="1"/>
  <c r="F16" i="223"/>
  <c r="G16" i="223" s="1"/>
  <c r="I21" i="223" l="1"/>
  <c r="G21" i="223"/>
  <c r="F21" i="223"/>
  <c r="H20" i="222"/>
  <c r="I20" i="222" s="1"/>
  <c r="H18" i="222"/>
  <c r="I18" i="222" s="1"/>
  <c r="H21" i="222"/>
  <c r="I21" i="222" s="1"/>
  <c r="R28" i="222"/>
  <c r="Q27" i="222"/>
  <c r="O27" i="222"/>
  <c r="M25" i="222"/>
  <c r="M27" i="222" s="1"/>
  <c r="M24" i="222"/>
  <c r="N24" i="222" s="1"/>
  <c r="O24" i="222" s="1"/>
  <c r="H24" i="222"/>
  <c r="I24" i="222" s="1"/>
  <c r="F24" i="222"/>
  <c r="G24" i="222" s="1"/>
  <c r="M23" i="222"/>
  <c r="N23" i="222" s="1"/>
  <c r="O23" i="222" s="1"/>
  <c r="H23" i="222"/>
  <c r="I23" i="222" s="1"/>
  <c r="F23" i="222"/>
  <c r="G23" i="222" s="1"/>
  <c r="M22" i="222"/>
  <c r="N22" i="222" s="1"/>
  <c r="O22" i="222" s="1"/>
  <c r="H22" i="222"/>
  <c r="I22" i="222" s="1"/>
  <c r="F22" i="222"/>
  <c r="G22" i="222" s="1"/>
  <c r="M21" i="222"/>
  <c r="N21" i="222" s="1"/>
  <c r="O21" i="222" s="1"/>
  <c r="F21" i="222"/>
  <c r="G21" i="222" s="1"/>
  <c r="M20" i="222"/>
  <c r="N20" i="222" s="1"/>
  <c r="O20" i="222" s="1"/>
  <c r="F20" i="222"/>
  <c r="G20" i="222" s="1"/>
  <c r="M19" i="222"/>
  <c r="N19" i="222" s="1"/>
  <c r="O19" i="222" s="1"/>
  <c r="H19" i="222"/>
  <c r="I19" i="222" s="1"/>
  <c r="F19" i="222"/>
  <c r="G19" i="222" s="1"/>
  <c r="M18" i="222"/>
  <c r="N18" i="222" s="1"/>
  <c r="O18" i="222" s="1"/>
  <c r="F18" i="222"/>
  <c r="G18" i="222" s="1"/>
  <c r="M17" i="222"/>
  <c r="N17" i="222" s="1"/>
  <c r="O17" i="222" s="1"/>
  <c r="H17" i="222"/>
  <c r="I17" i="222" s="1"/>
  <c r="F17" i="222"/>
  <c r="M16" i="222"/>
  <c r="N16" i="222" s="1"/>
  <c r="O16" i="222" s="1"/>
  <c r="H16" i="222"/>
  <c r="I16" i="222" s="1"/>
  <c r="F16" i="222"/>
  <c r="G16" i="222" s="1"/>
  <c r="I25" i="222" l="1"/>
  <c r="F25" i="222"/>
  <c r="P27" i="222"/>
  <c r="R27" i="222" s="1"/>
  <c r="G17" i="222"/>
  <c r="G25" i="222" s="1"/>
  <c r="O25" i="222"/>
  <c r="R23" i="221"/>
  <c r="Q22" i="221"/>
  <c r="O22" i="221"/>
  <c r="M20" i="221"/>
  <c r="O20" i="221" s="1"/>
  <c r="D20" i="221"/>
  <c r="M19" i="221"/>
  <c r="H19" i="221"/>
  <c r="I19" i="221" s="1"/>
  <c r="F19" i="221"/>
  <c r="G19" i="221" s="1"/>
  <c r="H18" i="221"/>
  <c r="I18" i="221" s="1"/>
  <c r="F18" i="221"/>
  <c r="G18" i="221" s="1"/>
  <c r="H17" i="221"/>
  <c r="I17" i="221" s="1"/>
  <c r="F17" i="221"/>
  <c r="G17" i="221" s="1"/>
  <c r="N16" i="221"/>
  <c r="O16" i="221" s="1"/>
  <c r="H16" i="221"/>
  <c r="I16" i="221" s="1"/>
  <c r="F16" i="221"/>
  <c r="G16" i="221" s="1"/>
  <c r="N19" i="221" l="1"/>
  <c r="O19" i="221" s="1"/>
  <c r="G20" i="221"/>
  <c r="I20" i="221"/>
  <c r="M22" i="221"/>
  <c r="P22" i="221" s="1"/>
  <c r="R22" i="221" s="1"/>
  <c r="F20" i="221"/>
  <c r="H22" i="220" l="1"/>
  <c r="I22" i="220" s="1"/>
  <c r="H25" i="220"/>
  <c r="I25" i="220" s="1"/>
  <c r="M19" i="220"/>
  <c r="N19" i="220" s="1"/>
  <c r="O19" i="220" s="1"/>
  <c r="H19" i="220"/>
  <c r="I19" i="220" s="1"/>
  <c r="F19" i="220"/>
  <c r="G19" i="220" s="1"/>
  <c r="M18" i="220"/>
  <c r="N18" i="220" s="1"/>
  <c r="O18" i="220" s="1"/>
  <c r="H18" i="220"/>
  <c r="I18" i="220" s="1"/>
  <c r="F18" i="220"/>
  <c r="G18" i="220" s="1"/>
  <c r="M17" i="220"/>
  <c r="N17" i="220" s="1"/>
  <c r="O17" i="220" s="1"/>
  <c r="H17" i="220"/>
  <c r="I17" i="220" s="1"/>
  <c r="F17" i="220"/>
  <c r="G17" i="220" s="1"/>
  <c r="M22" i="220"/>
  <c r="N22" i="220" s="1"/>
  <c r="O22" i="220" s="1"/>
  <c r="F22" i="220"/>
  <c r="G22" i="220" s="1"/>
  <c r="M21" i="220"/>
  <c r="N21" i="220" s="1"/>
  <c r="O21" i="220" s="1"/>
  <c r="H21" i="220"/>
  <c r="I21" i="220" s="1"/>
  <c r="F21" i="220"/>
  <c r="G21" i="220" s="1"/>
  <c r="M20" i="220"/>
  <c r="N20" i="220" s="1"/>
  <c r="O20" i="220" s="1"/>
  <c r="H20" i="220"/>
  <c r="I20" i="220" s="1"/>
  <c r="F20" i="220"/>
  <c r="G20" i="220" s="1"/>
  <c r="R30" i="220"/>
  <c r="Q29" i="220"/>
  <c r="O29" i="220"/>
  <c r="M27" i="220"/>
  <c r="M29" i="220" s="1"/>
  <c r="D27" i="220"/>
  <c r="M26" i="220"/>
  <c r="N26" i="220" s="1"/>
  <c r="O26" i="220" s="1"/>
  <c r="H26" i="220"/>
  <c r="I26" i="220" s="1"/>
  <c r="F26" i="220"/>
  <c r="G26" i="220" s="1"/>
  <c r="M25" i="220"/>
  <c r="N25" i="220" s="1"/>
  <c r="O25" i="220" s="1"/>
  <c r="F25" i="220"/>
  <c r="G25" i="220" s="1"/>
  <c r="M24" i="220"/>
  <c r="N24" i="220" s="1"/>
  <c r="O24" i="220" s="1"/>
  <c r="H24" i="220"/>
  <c r="I24" i="220" s="1"/>
  <c r="F24" i="220"/>
  <c r="G24" i="220" s="1"/>
  <c r="M23" i="220"/>
  <c r="N23" i="220" s="1"/>
  <c r="O23" i="220" s="1"/>
  <c r="H23" i="220"/>
  <c r="I23" i="220" s="1"/>
  <c r="F23" i="220"/>
  <c r="G23" i="220" s="1"/>
  <c r="M16" i="220"/>
  <c r="N16" i="220" s="1"/>
  <c r="O16" i="220" s="1"/>
  <c r="H16" i="220"/>
  <c r="I16" i="220" s="1"/>
  <c r="F16" i="220"/>
  <c r="G16" i="220" s="1"/>
  <c r="P29" i="220" l="1"/>
  <c r="R29" i="220" s="1"/>
  <c r="G27" i="220"/>
  <c r="I27" i="220"/>
  <c r="F27" i="220"/>
  <c r="O27" i="220"/>
  <c r="N16" i="215"/>
  <c r="M20" i="215"/>
  <c r="N20" i="215" s="1"/>
  <c r="N21" i="215" l="1"/>
  <c r="H16" i="219"/>
  <c r="I16" i="219" s="1"/>
  <c r="D20" i="219"/>
  <c r="H18" i="219"/>
  <c r="I18" i="219" s="1"/>
  <c r="F18" i="219"/>
  <c r="G18" i="219" s="1"/>
  <c r="H17" i="219"/>
  <c r="I17" i="219" s="1"/>
  <c r="F17" i="219"/>
  <c r="G17" i="219" s="1"/>
  <c r="F16" i="219"/>
  <c r="G16" i="219" s="1"/>
  <c r="G20" i="219" l="1"/>
  <c r="I20" i="219"/>
  <c r="F20" i="219"/>
  <c r="D35" i="218"/>
  <c r="A17" i="218"/>
  <c r="A18" i="218" s="1"/>
  <c r="A19" i="218" s="1"/>
  <c r="A20" i="218" s="1"/>
  <c r="A21" i="218" s="1"/>
  <c r="A22" i="218" s="1"/>
  <c r="A23" i="218" s="1"/>
  <c r="A24" i="218" s="1"/>
  <c r="A25" i="218" s="1"/>
  <c r="A26" i="218" s="1"/>
  <c r="A27" i="218" s="1"/>
  <c r="A28" i="218" s="1"/>
  <c r="A29" i="218" s="1"/>
  <c r="A30" i="218" s="1"/>
  <c r="A31" i="218" s="1"/>
  <c r="A32" i="218" s="1"/>
  <c r="A33" i="218" s="1"/>
  <c r="H24" i="218" l="1"/>
  <c r="I24" i="218" s="1"/>
  <c r="F24" i="218"/>
  <c r="G24" i="218" s="1"/>
  <c r="H23" i="218"/>
  <c r="I23" i="218" s="1"/>
  <c r="F23" i="218"/>
  <c r="G23" i="218" s="1"/>
  <c r="H22" i="218"/>
  <c r="I22" i="218" s="1"/>
  <c r="F22" i="218"/>
  <c r="G22" i="218" s="1"/>
  <c r="H21" i="218"/>
  <c r="I21" i="218" s="1"/>
  <c r="F21" i="218"/>
  <c r="G21" i="218" s="1"/>
  <c r="H20" i="218"/>
  <c r="I20" i="218" s="1"/>
  <c r="F20" i="218"/>
  <c r="G20" i="218" s="1"/>
  <c r="H19" i="218"/>
  <c r="I19" i="218" s="1"/>
  <c r="F19" i="218"/>
  <c r="G19" i="218" s="1"/>
  <c r="H18" i="218"/>
  <c r="I18" i="218" s="1"/>
  <c r="F18" i="218"/>
  <c r="G18" i="218" s="1"/>
  <c r="H17" i="218"/>
  <c r="I17" i="218" s="1"/>
  <c r="F17" i="218"/>
  <c r="G17" i="218" s="1"/>
  <c r="H32" i="218"/>
  <c r="I32" i="218" s="1"/>
  <c r="F32" i="218"/>
  <c r="G32" i="218" s="1"/>
  <c r="H31" i="218"/>
  <c r="I31" i="218" s="1"/>
  <c r="F31" i="218"/>
  <c r="G31" i="218" s="1"/>
  <c r="H30" i="218"/>
  <c r="I30" i="218" s="1"/>
  <c r="F30" i="218"/>
  <c r="G30" i="218" s="1"/>
  <c r="H29" i="218"/>
  <c r="I29" i="218" s="1"/>
  <c r="F29" i="218"/>
  <c r="G29" i="218" s="1"/>
  <c r="H28" i="218"/>
  <c r="I28" i="218" s="1"/>
  <c r="F28" i="218"/>
  <c r="G28" i="218" s="1"/>
  <c r="H27" i="218"/>
  <c r="I27" i="218" s="1"/>
  <c r="F27" i="218"/>
  <c r="G27" i="218" s="1"/>
  <c r="H26" i="218"/>
  <c r="I26" i="218" s="1"/>
  <c r="F26" i="218"/>
  <c r="G26" i="218" s="1"/>
  <c r="H25" i="218"/>
  <c r="I25" i="218" s="1"/>
  <c r="F25" i="218"/>
  <c r="G25" i="218" s="1"/>
  <c r="H33" i="218"/>
  <c r="I33" i="218" s="1"/>
  <c r="F33" i="218"/>
  <c r="G33" i="218" s="1"/>
  <c r="H16" i="218"/>
  <c r="I16" i="218" s="1"/>
  <c r="F16" i="218"/>
  <c r="H34" i="218"/>
  <c r="I34" i="218" s="1"/>
  <c r="F34" i="218"/>
  <c r="I35" i="218" l="1"/>
  <c r="G16" i="218"/>
  <c r="G35" i="218" s="1"/>
  <c r="F35" i="218"/>
  <c r="G34" i="218"/>
  <c r="H17" i="217" l="1"/>
  <c r="I17" i="217" s="1"/>
  <c r="D19" i="217"/>
  <c r="F17" i="217"/>
  <c r="G17" i="217" s="1"/>
  <c r="H16" i="217"/>
  <c r="I16" i="217" s="1"/>
  <c r="F16" i="217"/>
  <c r="H33" i="216"/>
  <c r="I33" i="216" s="1"/>
  <c r="F33" i="216"/>
  <c r="G33" i="216" s="1"/>
  <c r="H32" i="216"/>
  <c r="I32" i="216" s="1"/>
  <c r="F32" i="216"/>
  <c r="G32" i="216" s="1"/>
  <c r="H31" i="216"/>
  <c r="I31" i="216" s="1"/>
  <c r="F31" i="216"/>
  <c r="G31" i="216" s="1"/>
  <c r="H30" i="216"/>
  <c r="I30" i="216" s="1"/>
  <c r="F30" i="216"/>
  <c r="G30" i="216" s="1"/>
  <c r="H29" i="216"/>
  <c r="I29" i="216" s="1"/>
  <c r="F29" i="216"/>
  <c r="G29" i="216" s="1"/>
  <c r="H28" i="216"/>
  <c r="I28" i="216" s="1"/>
  <c r="F28" i="216"/>
  <c r="G28" i="216" s="1"/>
  <c r="H27" i="216"/>
  <c r="I27" i="216" s="1"/>
  <c r="F27" i="216"/>
  <c r="G27" i="216" s="1"/>
  <c r="F19" i="217" l="1"/>
  <c r="I19" i="217"/>
  <c r="G16" i="217"/>
  <c r="G19" i="217" s="1"/>
  <c r="H26" i="216" l="1"/>
  <c r="I26" i="216" s="1"/>
  <c r="F26" i="216"/>
  <c r="G26" i="216" s="1"/>
  <c r="H24" i="216"/>
  <c r="I24" i="216" s="1"/>
  <c r="H18" i="216"/>
  <c r="I18" i="216" s="1"/>
  <c r="D35" i="216"/>
  <c r="H25" i="216"/>
  <c r="I25" i="216" s="1"/>
  <c r="F25" i="216"/>
  <c r="G25" i="216" s="1"/>
  <c r="H20" i="216"/>
  <c r="I20" i="216" s="1"/>
  <c r="F20" i="216"/>
  <c r="G20" i="216" s="1"/>
  <c r="H19" i="216"/>
  <c r="I19" i="216" s="1"/>
  <c r="F19" i="216"/>
  <c r="G19" i="216" s="1"/>
  <c r="F18" i="216"/>
  <c r="G18" i="216" s="1"/>
  <c r="H17" i="216"/>
  <c r="I17" i="216" s="1"/>
  <c r="F17" i="216"/>
  <c r="G17" i="216" s="1"/>
  <c r="R38" i="216"/>
  <c r="Q37" i="216"/>
  <c r="O37" i="216"/>
  <c r="M35" i="216"/>
  <c r="M37" i="216" s="1"/>
  <c r="M34" i="216"/>
  <c r="N34" i="216" s="1"/>
  <c r="O34" i="216" s="1"/>
  <c r="H34" i="216"/>
  <c r="I34" i="216" s="1"/>
  <c r="F34" i="216"/>
  <c r="G34" i="216" s="1"/>
  <c r="F24" i="216"/>
  <c r="G24" i="216" s="1"/>
  <c r="H23" i="216"/>
  <c r="I23" i="216" s="1"/>
  <c r="F23" i="216"/>
  <c r="G23" i="216" s="1"/>
  <c r="H22" i="216"/>
  <c r="I22" i="216" s="1"/>
  <c r="F22" i="216"/>
  <c r="G22" i="216" s="1"/>
  <c r="H21" i="216"/>
  <c r="I21" i="216" s="1"/>
  <c r="F21" i="216"/>
  <c r="G21" i="216" s="1"/>
  <c r="M16" i="216"/>
  <c r="N16" i="216" s="1"/>
  <c r="O16" i="216" s="1"/>
  <c r="H16" i="216"/>
  <c r="I16" i="216" s="1"/>
  <c r="F16" i="216"/>
  <c r="G16" i="216" s="1"/>
  <c r="P37" i="216" l="1"/>
  <c r="R37" i="216" s="1"/>
  <c r="I35" i="216"/>
  <c r="G35" i="216"/>
  <c r="F35" i="216"/>
  <c r="O35" i="216"/>
  <c r="D22" i="215"/>
  <c r="F16" i="215"/>
  <c r="R25" i="215"/>
  <c r="Q24" i="215"/>
  <c r="O24" i="215"/>
  <c r="M22" i="215"/>
  <c r="M24" i="215" s="1"/>
  <c r="M21" i="215"/>
  <c r="O21" i="215" s="1"/>
  <c r="H21" i="215"/>
  <c r="I21" i="215" s="1"/>
  <c r="F21" i="215"/>
  <c r="G21" i="215" s="1"/>
  <c r="H20" i="215"/>
  <c r="I20" i="215" s="1"/>
  <c r="F20" i="215"/>
  <c r="G20" i="215" s="1"/>
  <c r="H19" i="215"/>
  <c r="I19" i="215" s="1"/>
  <c r="F19" i="215"/>
  <c r="G19" i="215" s="1"/>
  <c r="H18" i="215"/>
  <c r="I18" i="215" s="1"/>
  <c r="F18" i="215"/>
  <c r="G18" i="215" s="1"/>
  <c r="H17" i="215"/>
  <c r="I17" i="215" s="1"/>
  <c r="F17" i="215"/>
  <c r="G17" i="215" s="1"/>
  <c r="O16" i="215"/>
  <c r="H16" i="215"/>
  <c r="I16" i="215" s="1"/>
  <c r="P24" i="215" l="1"/>
  <c r="R24" i="215" s="1"/>
  <c r="F22" i="215"/>
  <c r="I22" i="215"/>
  <c r="G16" i="215"/>
  <c r="G22" i="215" s="1"/>
  <c r="O22" i="215"/>
  <c r="H18" i="214" l="1"/>
  <c r="I18" i="214" s="1"/>
  <c r="H17" i="214"/>
  <c r="I17" i="214" s="1"/>
  <c r="R24" i="214"/>
  <c r="Q23" i="214"/>
  <c r="O23" i="214"/>
  <c r="M21" i="214"/>
  <c r="M23" i="214" s="1"/>
  <c r="D21" i="214"/>
  <c r="M20" i="214"/>
  <c r="N20" i="214" s="1"/>
  <c r="O20" i="214" s="1"/>
  <c r="H20" i="214"/>
  <c r="I20" i="214" s="1"/>
  <c r="F20" i="214"/>
  <c r="G20" i="214" s="1"/>
  <c r="H19" i="214"/>
  <c r="I19" i="214" s="1"/>
  <c r="F19" i="214"/>
  <c r="G19" i="214" s="1"/>
  <c r="F18" i="214"/>
  <c r="G18" i="214" s="1"/>
  <c r="F17" i="214"/>
  <c r="G17" i="214" s="1"/>
  <c r="M16" i="214"/>
  <c r="N16" i="214" s="1"/>
  <c r="O16" i="214" s="1"/>
  <c r="H16" i="214"/>
  <c r="I16" i="214" s="1"/>
  <c r="F16" i="214"/>
  <c r="P23" i="214" l="1"/>
  <c r="R23" i="214" s="1"/>
  <c r="F21" i="214"/>
  <c r="G16" i="214"/>
  <c r="G21" i="214" s="1"/>
  <c r="I21" i="214"/>
  <c r="O21" i="214"/>
  <c r="D142" i="213"/>
  <c r="H137" i="213"/>
  <c r="I137" i="213" s="1"/>
  <c r="H135" i="213"/>
  <c r="I135" i="213" s="1"/>
  <c r="H127" i="213"/>
  <c r="I127" i="213" s="1"/>
  <c r="H125" i="213"/>
  <c r="I125" i="213" s="1"/>
  <c r="H123" i="213"/>
  <c r="I123" i="213" s="1"/>
  <c r="H119" i="213"/>
  <c r="I119" i="213" s="1"/>
  <c r="H118" i="213"/>
  <c r="I118" i="213" s="1"/>
  <c r="H114" i="213"/>
  <c r="I114" i="213" s="1"/>
  <c r="H111" i="213"/>
  <c r="I111" i="213" s="1"/>
  <c r="H105" i="213"/>
  <c r="I105" i="213" s="1"/>
  <c r="H104" i="213"/>
  <c r="I104" i="213" s="1"/>
  <c r="H103" i="213"/>
  <c r="H102" i="213"/>
  <c r="I102" i="213" s="1"/>
  <c r="H101" i="213"/>
  <c r="I101" i="213" s="1"/>
  <c r="H95" i="213"/>
  <c r="I95" i="213" s="1"/>
  <c r="H90" i="213"/>
  <c r="H87" i="213"/>
  <c r="H84" i="213"/>
  <c r="H83" i="213"/>
  <c r="H79" i="213"/>
  <c r="H78" i="213"/>
  <c r="H75" i="213"/>
  <c r="I75" i="213" s="1"/>
  <c r="H74" i="213"/>
  <c r="I74" i="213" s="1"/>
  <c r="H68" i="213"/>
  <c r="I68" i="213" s="1"/>
  <c r="H60" i="213"/>
  <c r="I60" i="213" s="1"/>
  <c r="H58" i="213"/>
  <c r="I58" i="213" s="1"/>
  <c r="H57" i="213"/>
  <c r="I57" i="213" s="1"/>
  <c r="H56" i="213"/>
  <c r="I56" i="213" s="1"/>
  <c r="H55" i="213"/>
  <c r="I55" i="213" s="1"/>
  <c r="H53" i="213"/>
  <c r="I53" i="213" s="1"/>
  <c r="H50" i="213"/>
  <c r="I50" i="213" s="1"/>
  <c r="H45" i="213"/>
  <c r="I45" i="213" s="1"/>
  <c r="H44" i="213"/>
  <c r="I44" i="213" s="1"/>
  <c r="H36" i="213"/>
  <c r="I36" i="213" s="1"/>
  <c r="H35" i="213"/>
  <c r="I35" i="213" s="1"/>
  <c r="H34" i="213"/>
  <c r="I34" i="213" s="1"/>
  <c r="H21" i="213"/>
  <c r="I21" i="213" s="1"/>
  <c r="M108" i="213"/>
  <c r="N108" i="213" s="1"/>
  <c r="O108" i="213" s="1"/>
  <c r="H108" i="213"/>
  <c r="I108" i="213" s="1"/>
  <c r="F108" i="213"/>
  <c r="G108" i="213" s="1"/>
  <c r="M107" i="213"/>
  <c r="N107" i="213" s="1"/>
  <c r="O107" i="213" s="1"/>
  <c r="H107" i="213"/>
  <c r="I107" i="213" s="1"/>
  <c r="F107" i="213"/>
  <c r="G107" i="213" s="1"/>
  <c r="M106" i="213"/>
  <c r="N106" i="213" s="1"/>
  <c r="O106" i="213" s="1"/>
  <c r="H106" i="213"/>
  <c r="I106" i="213" s="1"/>
  <c r="F106" i="213"/>
  <c r="G106" i="213" s="1"/>
  <c r="M105" i="213"/>
  <c r="N105" i="213" s="1"/>
  <c r="O105" i="213" s="1"/>
  <c r="F105" i="213"/>
  <c r="G105" i="213" s="1"/>
  <c r="M104" i="213"/>
  <c r="N104" i="213" s="1"/>
  <c r="O104" i="213" s="1"/>
  <c r="F104" i="213"/>
  <c r="G104" i="213" s="1"/>
  <c r="M103" i="213"/>
  <c r="N103" i="213" s="1"/>
  <c r="O103" i="213" s="1"/>
  <c r="I103" i="213"/>
  <c r="F103" i="213"/>
  <c r="G103" i="213" s="1"/>
  <c r="M102" i="213"/>
  <c r="N102" i="213" s="1"/>
  <c r="O102" i="213" s="1"/>
  <c r="F102" i="213"/>
  <c r="G102" i="213" s="1"/>
  <c r="M101" i="213"/>
  <c r="N101" i="213" s="1"/>
  <c r="O101" i="213" s="1"/>
  <c r="F101" i="213"/>
  <c r="G101" i="213" s="1"/>
  <c r="M100" i="213"/>
  <c r="N100" i="213" s="1"/>
  <c r="O100" i="213" s="1"/>
  <c r="H100" i="213"/>
  <c r="I100" i="213" s="1"/>
  <c r="F100" i="213"/>
  <c r="G100" i="213" s="1"/>
  <c r="M99" i="213"/>
  <c r="N99" i="213" s="1"/>
  <c r="O99" i="213" s="1"/>
  <c r="H99" i="213"/>
  <c r="I99" i="213" s="1"/>
  <c r="F99" i="213"/>
  <c r="G99" i="213" s="1"/>
  <c r="M98" i="213"/>
  <c r="N98" i="213" s="1"/>
  <c r="O98" i="213" s="1"/>
  <c r="H98" i="213"/>
  <c r="I98" i="213" s="1"/>
  <c r="F98" i="213"/>
  <c r="G98" i="213" s="1"/>
  <c r="M97" i="213"/>
  <c r="N97" i="213" s="1"/>
  <c r="O97" i="213" s="1"/>
  <c r="H97" i="213"/>
  <c r="I97" i="213" s="1"/>
  <c r="F97" i="213"/>
  <c r="G97" i="213" s="1"/>
  <c r="M96" i="213"/>
  <c r="N96" i="213" s="1"/>
  <c r="O96" i="213" s="1"/>
  <c r="H96" i="213"/>
  <c r="I96" i="213" s="1"/>
  <c r="F96" i="213"/>
  <c r="G96" i="213" s="1"/>
  <c r="M121" i="213"/>
  <c r="N121" i="213" s="1"/>
  <c r="O121" i="213" s="1"/>
  <c r="H121" i="213"/>
  <c r="I121" i="213" s="1"/>
  <c r="F121" i="213"/>
  <c r="G121" i="213" s="1"/>
  <c r="M120" i="213"/>
  <c r="N120" i="213" s="1"/>
  <c r="O120" i="213" s="1"/>
  <c r="H120" i="213"/>
  <c r="I120" i="213" s="1"/>
  <c r="F120" i="213"/>
  <c r="G120" i="213" s="1"/>
  <c r="M119" i="213"/>
  <c r="N119" i="213" s="1"/>
  <c r="O119" i="213" s="1"/>
  <c r="F119" i="213"/>
  <c r="G119" i="213" s="1"/>
  <c r="M118" i="213"/>
  <c r="N118" i="213" s="1"/>
  <c r="O118" i="213" s="1"/>
  <c r="F118" i="213"/>
  <c r="G118" i="213" s="1"/>
  <c r="M117" i="213"/>
  <c r="N117" i="213" s="1"/>
  <c r="O117" i="213" s="1"/>
  <c r="H117" i="213"/>
  <c r="I117" i="213" s="1"/>
  <c r="F117" i="213"/>
  <c r="G117" i="213" s="1"/>
  <c r="M116" i="213"/>
  <c r="N116" i="213" s="1"/>
  <c r="O116" i="213" s="1"/>
  <c r="H116" i="213"/>
  <c r="I116" i="213" s="1"/>
  <c r="F116" i="213"/>
  <c r="G116" i="213" s="1"/>
  <c r="M115" i="213"/>
  <c r="N115" i="213" s="1"/>
  <c r="O115" i="213" s="1"/>
  <c r="H115" i="213"/>
  <c r="I115" i="213" s="1"/>
  <c r="F115" i="213"/>
  <c r="G115" i="213" s="1"/>
  <c r="M114" i="213"/>
  <c r="N114" i="213" s="1"/>
  <c r="O114" i="213" s="1"/>
  <c r="F114" i="213"/>
  <c r="G114" i="213" s="1"/>
  <c r="M113" i="213"/>
  <c r="N113" i="213" s="1"/>
  <c r="O113" i="213" s="1"/>
  <c r="H113" i="213"/>
  <c r="I113" i="213" s="1"/>
  <c r="F113" i="213"/>
  <c r="G113" i="213" s="1"/>
  <c r="M112" i="213"/>
  <c r="N112" i="213" s="1"/>
  <c r="O112" i="213" s="1"/>
  <c r="H112" i="213"/>
  <c r="I112" i="213" s="1"/>
  <c r="F112" i="213"/>
  <c r="G112" i="213" s="1"/>
  <c r="M111" i="213"/>
  <c r="N111" i="213" s="1"/>
  <c r="O111" i="213" s="1"/>
  <c r="F111" i="213"/>
  <c r="G111" i="213" s="1"/>
  <c r="M110" i="213"/>
  <c r="N110" i="213" s="1"/>
  <c r="O110" i="213" s="1"/>
  <c r="H110" i="213"/>
  <c r="I110" i="213" s="1"/>
  <c r="F110" i="213"/>
  <c r="G110" i="213" s="1"/>
  <c r="M109" i="213"/>
  <c r="N109" i="213" s="1"/>
  <c r="O109" i="213" s="1"/>
  <c r="H109" i="213"/>
  <c r="I109" i="213" s="1"/>
  <c r="F109" i="213"/>
  <c r="G109" i="213" s="1"/>
  <c r="M134" i="213"/>
  <c r="N134" i="213" s="1"/>
  <c r="O134" i="213" s="1"/>
  <c r="H134" i="213"/>
  <c r="I134" i="213" s="1"/>
  <c r="F134" i="213"/>
  <c r="G134" i="213" s="1"/>
  <c r="M133" i="213"/>
  <c r="N133" i="213" s="1"/>
  <c r="O133" i="213" s="1"/>
  <c r="H133" i="213"/>
  <c r="I133" i="213" s="1"/>
  <c r="F133" i="213"/>
  <c r="G133" i="213" s="1"/>
  <c r="M132" i="213"/>
  <c r="N132" i="213" s="1"/>
  <c r="O132" i="213" s="1"/>
  <c r="H132" i="213"/>
  <c r="I132" i="213" s="1"/>
  <c r="F132" i="213"/>
  <c r="G132" i="213" s="1"/>
  <c r="M131" i="213"/>
  <c r="N131" i="213" s="1"/>
  <c r="O131" i="213" s="1"/>
  <c r="H131" i="213"/>
  <c r="I131" i="213" s="1"/>
  <c r="F131" i="213"/>
  <c r="G131" i="213" s="1"/>
  <c r="M130" i="213"/>
  <c r="N130" i="213" s="1"/>
  <c r="O130" i="213" s="1"/>
  <c r="H130" i="213"/>
  <c r="I130" i="213" s="1"/>
  <c r="F130" i="213"/>
  <c r="G130" i="213" s="1"/>
  <c r="M129" i="213"/>
  <c r="N129" i="213" s="1"/>
  <c r="O129" i="213" s="1"/>
  <c r="H129" i="213"/>
  <c r="I129" i="213" s="1"/>
  <c r="F129" i="213"/>
  <c r="G129" i="213" s="1"/>
  <c r="M128" i="213"/>
  <c r="N128" i="213" s="1"/>
  <c r="O128" i="213" s="1"/>
  <c r="H128" i="213"/>
  <c r="I128" i="213" s="1"/>
  <c r="F128" i="213"/>
  <c r="G128" i="213" s="1"/>
  <c r="M127" i="213"/>
  <c r="N127" i="213" s="1"/>
  <c r="O127" i="213" s="1"/>
  <c r="F127" i="213"/>
  <c r="G127" i="213" s="1"/>
  <c r="M126" i="213"/>
  <c r="N126" i="213" s="1"/>
  <c r="O126" i="213" s="1"/>
  <c r="H126" i="213"/>
  <c r="I126" i="213" s="1"/>
  <c r="F126" i="213"/>
  <c r="G126" i="213" s="1"/>
  <c r="M125" i="213"/>
  <c r="N125" i="213" s="1"/>
  <c r="O125" i="213" s="1"/>
  <c r="F125" i="213"/>
  <c r="G125" i="213" s="1"/>
  <c r="M124" i="213"/>
  <c r="N124" i="213" s="1"/>
  <c r="O124" i="213" s="1"/>
  <c r="H124" i="213"/>
  <c r="I124" i="213" s="1"/>
  <c r="F124" i="213"/>
  <c r="G124" i="213" s="1"/>
  <c r="M123" i="213"/>
  <c r="N123" i="213" s="1"/>
  <c r="O123" i="213" s="1"/>
  <c r="F123" i="213"/>
  <c r="G123" i="213" s="1"/>
  <c r="M122" i="213"/>
  <c r="N122" i="213" s="1"/>
  <c r="O122" i="213" s="1"/>
  <c r="H122" i="213"/>
  <c r="I122" i="213" s="1"/>
  <c r="F122" i="213"/>
  <c r="G122" i="213" s="1"/>
  <c r="M72" i="213"/>
  <c r="N72" i="213" s="1"/>
  <c r="O72" i="213" s="1"/>
  <c r="H72" i="213"/>
  <c r="I72" i="213" s="1"/>
  <c r="F72" i="213"/>
  <c r="G72" i="213" s="1"/>
  <c r="M71" i="213"/>
  <c r="N71" i="213" s="1"/>
  <c r="O71" i="213" s="1"/>
  <c r="H71" i="213"/>
  <c r="I71" i="213" s="1"/>
  <c r="F71" i="213"/>
  <c r="G71" i="213" s="1"/>
  <c r="M70" i="213"/>
  <c r="N70" i="213" s="1"/>
  <c r="O70" i="213" s="1"/>
  <c r="H70" i="213"/>
  <c r="I70" i="213" s="1"/>
  <c r="F70" i="213"/>
  <c r="G70" i="213" s="1"/>
  <c r="M69" i="213"/>
  <c r="N69" i="213" s="1"/>
  <c r="O69" i="213" s="1"/>
  <c r="H69" i="213"/>
  <c r="I69" i="213" s="1"/>
  <c r="F69" i="213"/>
  <c r="G69" i="213" s="1"/>
  <c r="M68" i="213"/>
  <c r="N68" i="213" s="1"/>
  <c r="O68" i="213" s="1"/>
  <c r="F68" i="213"/>
  <c r="G68" i="213" s="1"/>
  <c r="M67" i="213"/>
  <c r="N67" i="213" s="1"/>
  <c r="O67" i="213" s="1"/>
  <c r="H67" i="213"/>
  <c r="I67" i="213" s="1"/>
  <c r="F67" i="213"/>
  <c r="G67" i="213" s="1"/>
  <c r="M66" i="213"/>
  <c r="N66" i="213" s="1"/>
  <c r="O66" i="213" s="1"/>
  <c r="H66" i="213"/>
  <c r="I66" i="213" s="1"/>
  <c r="F66" i="213"/>
  <c r="G66" i="213" s="1"/>
  <c r="M65" i="213"/>
  <c r="N65" i="213" s="1"/>
  <c r="O65" i="213" s="1"/>
  <c r="H65" i="213"/>
  <c r="I65" i="213" s="1"/>
  <c r="F65" i="213"/>
  <c r="G65" i="213" s="1"/>
  <c r="M64" i="213"/>
  <c r="N64" i="213" s="1"/>
  <c r="O64" i="213" s="1"/>
  <c r="H64" i="213"/>
  <c r="I64" i="213" s="1"/>
  <c r="F64" i="213"/>
  <c r="G64" i="213" s="1"/>
  <c r="M63" i="213"/>
  <c r="N63" i="213" s="1"/>
  <c r="O63" i="213" s="1"/>
  <c r="H63" i="213"/>
  <c r="I63" i="213" s="1"/>
  <c r="F63" i="213"/>
  <c r="G63" i="213" s="1"/>
  <c r="M62" i="213"/>
  <c r="N62" i="213" s="1"/>
  <c r="O62" i="213" s="1"/>
  <c r="H62" i="213"/>
  <c r="I62" i="213" s="1"/>
  <c r="F62" i="213"/>
  <c r="G62" i="213" s="1"/>
  <c r="M61" i="213"/>
  <c r="N61" i="213" s="1"/>
  <c r="O61" i="213" s="1"/>
  <c r="H61" i="213"/>
  <c r="I61" i="213" s="1"/>
  <c r="F61" i="213"/>
  <c r="G61" i="213" s="1"/>
  <c r="M60" i="213"/>
  <c r="N60" i="213" s="1"/>
  <c r="O60" i="213" s="1"/>
  <c r="F60" i="213"/>
  <c r="G60" i="213" s="1"/>
  <c r="M59" i="213"/>
  <c r="N59" i="213" s="1"/>
  <c r="O59" i="213" s="1"/>
  <c r="H59" i="213"/>
  <c r="I59" i="213" s="1"/>
  <c r="F59" i="213"/>
  <c r="G59" i="213" s="1"/>
  <c r="M58" i="213"/>
  <c r="N58" i="213" s="1"/>
  <c r="O58" i="213" s="1"/>
  <c r="F58" i="213"/>
  <c r="G58" i="213" s="1"/>
  <c r="M57" i="213"/>
  <c r="N57" i="213" s="1"/>
  <c r="O57" i="213" s="1"/>
  <c r="F57" i="213"/>
  <c r="G57" i="213" s="1"/>
  <c r="M56" i="213"/>
  <c r="N56" i="213" s="1"/>
  <c r="O56" i="213" s="1"/>
  <c r="F56" i="213"/>
  <c r="G56" i="213" s="1"/>
  <c r="M55" i="213"/>
  <c r="N55" i="213" s="1"/>
  <c r="O55" i="213" s="1"/>
  <c r="F55" i="213"/>
  <c r="G55" i="213" s="1"/>
  <c r="M54" i="213"/>
  <c r="N54" i="213" s="1"/>
  <c r="O54" i="213" s="1"/>
  <c r="H54" i="213"/>
  <c r="I54" i="213" s="1"/>
  <c r="F54" i="213"/>
  <c r="G54" i="213" s="1"/>
  <c r="M53" i="213"/>
  <c r="N53" i="213" s="1"/>
  <c r="O53" i="213" s="1"/>
  <c r="F53" i="213"/>
  <c r="G53" i="213" s="1"/>
  <c r="M52" i="213"/>
  <c r="N52" i="213" s="1"/>
  <c r="O52" i="213" s="1"/>
  <c r="H52" i="213"/>
  <c r="I52" i="213" s="1"/>
  <c r="F52" i="213"/>
  <c r="G52" i="213" s="1"/>
  <c r="M51" i="213"/>
  <c r="N51" i="213" s="1"/>
  <c r="O51" i="213" s="1"/>
  <c r="H51" i="213"/>
  <c r="I51" i="213" s="1"/>
  <c r="F51" i="213"/>
  <c r="G51" i="213" s="1"/>
  <c r="M50" i="213"/>
  <c r="N50" i="213" s="1"/>
  <c r="O50" i="213" s="1"/>
  <c r="F50" i="213"/>
  <c r="G50" i="213" s="1"/>
  <c r="M49" i="213"/>
  <c r="N49" i="213" s="1"/>
  <c r="O49" i="213" s="1"/>
  <c r="H49" i="213"/>
  <c r="I49" i="213" s="1"/>
  <c r="F49" i="213"/>
  <c r="G49" i="213" s="1"/>
  <c r="M48" i="213"/>
  <c r="N48" i="213" s="1"/>
  <c r="O48" i="213" s="1"/>
  <c r="H48" i="213"/>
  <c r="I48" i="213" s="1"/>
  <c r="F48" i="213"/>
  <c r="G48" i="213" s="1"/>
  <c r="M47" i="213"/>
  <c r="N47" i="213" s="1"/>
  <c r="O47" i="213" s="1"/>
  <c r="H47" i="213"/>
  <c r="I47" i="213" s="1"/>
  <c r="F47" i="213"/>
  <c r="G47" i="213" s="1"/>
  <c r="M46" i="213"/>
  <c r="N46" i="213" s="1"/>
  <c r="O46" i="213" s="1"/>
  <c r="H46" i="213"/>
  <c r="I46" i="213" s="1"/>
  <c r="F46" i="213"/>
  <c r="G46" i="213" s="1"/>
  <c r="M45" i="213"/>
  <c r="N45" i="213" s="1"/>
  <c r="O45" i="213" s="1"/>
  <c r="F45" i="213"/>
  <c r="G45" i="213" s="1"/>
  <c r="M44" i="213"/>
  <c r="N44" i="213" s="1"/>
  <c r="O44" i="213" s="1"/>
  <c r="F44" i="213"/>
  <c r="G44" i="213" s="1"/>
  <c r="M76" i="213"/>
  <c r="N76" i="213" s="1"/>
  <c r="O76" i="213" s="1"/>
  <c r="H76" i="213"/>
  <c r="I76" i="213" s="1"/>
  <c r="F76" i="213"/>
  <c r="G76" i="213" s="1"/>
  <c r="M75" i="213"/>
  <c r="N75" i="213" s="1"/>
  <c r="O75" i="213" s="1"/>
  <c r="F75" i="213"/>
  <c r="G75" i="213" s="1"/>
  <c r="M74" i="213"/>
  <c r="N74" i="213" s="1"/>
  <c r="O74" i="213" s="1"/>
  <c r="F74" i="213"/>
  <c r="G74" i="213" s="1"/>
  <c r="M73" i="213"/>
  <c r="N73" i="213" s="1"/>
  <c r="O73" i="213" s="1"/>
  <c r="H73" i="213"/>
  <c r="I73" i="213" s="1"/>
  <c r="F73" i="213"/>
  <c r="G73" i="213" s="1"/>
  <c r="M43" i="213"/>
  <c r="N43" i="213" s="1"/>
  <c r="O43" i="213" s="1"/>
  <c r="H43" i="213"/>
  <c r="I43" i="213" s="1"/>
  <c r="F43" i="213"/>
  <c r="G43" i="213" s="1"/>
  <c r="M42" i="213"/>
  <c r="N42" i="213" s="1"/>
  <c r="O42" i="213" s="1"/>
  <c r="H42" i="213"/>
  <c r="I42" i="213" s="1"/>
  <c r="F42" i="213"/>
  <c r="G42" i="213" s="1"/>
  <c r="M41" i="213"/>
  <c r="N41" i="213" s="1"/>
  <c r="O41" i="213" s="1"/>
  <c r="H41" i="213"/>
  <c r="I41" i="213" s="1"/>
  <c r="F41" i="213"/>
  <c r="G41" i="213" s="1"/>
  <c r="M40" i="213"/>
  <c r="N40" i="213" s="1"/>
  <c r="O40" i="213" s="1"/>
  <c r="H40" i="213"/>
  <c r="I40" i="213" s="1"/>
  <c r="F40" i="213"/>
  <c r="G40" i="213" s="1"/>
  <c r="M39" i="213"/>
  <c r="N39" i="213" s="1"/>
  <c r="O39" i="213" s="1"/>
  <c r="H39" i="213"/>
  <c r="I39" i="213" s="1"/>
  <c r="F39" i="213"/>
  <c r="G39" i="213" s="1"/>
  <c r="M38" i="213"/>
  <c r="N38" i="213" s="1"/>
  <c r="O38" i="213" s="1"/>
  <c r="H38" i="213"/>
  <c r="I38" i="213" s="1"/>
  <c r="F38" i="213"/>
  <c r="G38" i="213" s="1"/>
  <c r="M37" i="213"/>
  <c r="N37" i="213" s="1"/>
  <c r="O37" i="213" s="1"/>
  <c r="H37" i="213"/>
  <c r="I37" i="213" s="1"/>
  <c r="F37" i="213"/>
  <c r="G37" i="213" s="1"/>
  <c r="M36" i="213"/>
  <c r="N36" i="213" s="1"/>
  <c r="O36" i="213" s="1"/>
  <c r="F36" i="213"/>
  <c r="G36" i="213" s="1"/>
  <c r="M35" i="213"/>
  <c r="N35" i="213" s="1"/>
  <c r="O35" i="213" s="1"/>
  <c r="F35" i="213"/>
  <c r="G35" i="213" s="1"/>
  <c r="M34" i="213"/>
  <c r="N34" i="213" s="1"/>
  <c r="O34" i="213" s="1"/>
  <c r="F34" i="213"/>
  <c r="G34" i="213" s="1"/>
  <c r="M33" i="213"/>
  <c r="N33" i="213" s="1"/>
  <c r="O33" i="213" s="1"/>
  <c r="H33" i="213"/>
  <c r="I33" i="213" s="1"/>
  <c r="F33" i="213"/>
  <c r="G33" i="213" s="1"/>
  <c r="M32" i="213"/>
  <c r="N32" i="213" s="1"/>
  <c r="O32" i="213" s="1"/>
  <c r="H32" i="213"/>
  <c r="I32" i="213" s="1"/>
  <c r="F32" i="213"/>
  <c r="G32" i="213" s="1"/>
  <c r="M31" i="213"/>
  <c r="N31" i="213" s="1"/>
  <c r="O31" i="213" s="1"/>
  <c r="H31" i="213"/>
  <c r="I31" i="213" s="1"/>
  <c r="F31" i="213"/>
  <c r="G31" i="213" s="1"/>
  <c r="M30" i="213"/>
  <c r="N30" i="213" s="1"/>
  <c r="O30" i="213" s="1"/>
  <c r="H30" i="213"/>
  <c r="I30" i="213" s="1"/>
  <c r="F30" i="213"/>
  <c r="G30" i="213" s="1"/>
  <c r="M29" i="213"/>
  <c r="N29" i="213" s="1"/>
  <c r="O29" i="213" s="1"/>
  <c r="H29" i="213"/>
  <c r="I29" i="213" s="1"/>
  <c r="F29" i="213"/>
  <c r="G29" i="213" s="1"/>
  <c r="M28" i="213"/>
  <c r="N28" i="213" s="1"/>
  <c r="O28" i="213" s="1"/>
  <c r="H28" i="213"/>
  <c r="I28" i="213" s="1"/>
  <c r="F28" i="213"/>
  <c r="G28" i="213" s="1"/>
  <c r="M27" i="213"/>
  <c r="N27" i="213" s="1"/>
  <c r="O27" i="213" s="1"/>
  <c r="H27" i="213"/>
  <c r="I27" i="213" s="1"/>
  <c r="F27" i="213"/>
  <c r="G27" i="213" s="1"/>
  <c r="M26" i="213"/>
  <c r="N26" i="213" s="1"/>
  <c r="O26" i="213" s="1"/>
  <c r="H26" i="213"/>
  <c r="I26" i="213" s="1"/>
  <c r="F26" i="213"/>
  <c r="G26" i="213" s="1"/>
  <c r="M25" i="213"/>
  <c r="N25" i="213" s="1"/>
  <c r="O25" i="213" s="1"/>
  <c r="H25" i="213"/>
  <c r="I25" i="213" s="1"/>
  <c r="F25" i="213"/>
  <c r="G25" i="213" s="1"/>
  <c r="M24" i="213"/>
  <c r="N24" i="213" s="1"/>
  <c r="O24" i="213" s="1"/>
  <c r="H24" i="213"/>
  <c r="I24" i="213" s="1"/>
  <c r="F24" i="213"/>
  <c r="G24" i="213" s="1"/>
  <c r="M23" i="213"/>
  <c r="N23" i="213" s="1"/>
  <c r="O23" i="213" s="1"/>
  <c r="H23" i="213"/>
  <c r="I23" i="213" s="1"/>
  <c r="F23" i="213"/>
  <c r="G23" i="213" s="1"/>
  <c r="M22" i="213"/>
  <c r="N22" i="213" s="1"/>
  <c r="O22" i="213" s="1"/>
  <c r="H22" i="213"/>
  <c r="I22" i="213" s="1"/>
  <c r="F22" i="213"/>
  <c r="G22" i="213" s="1"/>
  <c r="M21" i="213"/>
  <c r="N21" i="213" s="1"/>
  <c r="O21" i="213" s="1"/>
  <c r="F21" i="213"/>
  <c r="G21" i="213" s="1"/>
  <c r="M20" i="213"/>
  <c r="N20" i="213" s="1"/>
  <c r="O20" i="213" s="1"/>
  <c r="H20" i="213"/>
  <c r="I20" i="213" s="1"/>
  <c r="F20" i="213"/>
  <c r="G20" i="213" s="1"/>
  <c r="M19" i="213"/>
  <c r="N19" i="213" s="1"/>
  <c r="O19" i="213" s="1"/>
  <c r="H19" i="213"/>
  <c r="I19" i="213" s="1"/>
  <c r="F19" i="213"/>
  <c r="G19" i="213" s="1"/>
  <c r="M18" i="213"/>
  <c r="N18" i="213" s="1"/>
  <c r="O18" i="213" s="1"/>
  <c r="H18" i="213"/>
  <c r="I18" i="213" s="1"/>
  <c r="F18" i="213"/>
  <c r="G18" i="213" s="1"/>
  <c r="M17" i="213"/>
  <c r="N17" i="213" s="1"/>
  <c r="O17" i="213" s="1"/>
  <c r="H17" i="213"/>
  <c r="I17" i="213" s="1"/>
  <c r="F17" i="213"/>
  <c r="G17" i="213" s="1"/>
  <c r="M16" i="213"/>
  <c r="N16" i="213" s="1"/>
  <c r="O16" i="213" s="1"/>
  <c r="H16" i="213"/>
  <c r="I16" i="213" s="1"/>
  <c r="F16" i="213"/>
  <c r="G16" i="213" s="1"/>
  <c r="M140" i="213"/>
  <c r="N140" i="213" s="1"/>
  <c r="O140" i="213" s="1"/>
  <c r="I140" i="213"/>
  <c r="F140" i="213"/>
  <c r="G140" i="213" s="1"/>
  <c r="M139" i="213"/>
  <c r="N139" i="213" s="1"/>
  <c r="O139" i="213" s="1"/>
  <c r="H139" i="213"/>
  <c r="I139" i="213" s="1"/>
  <c r="F139" i="213"/>
  <c r="G139" i="213" s="1"/>
  <c r="M138" i="213"/>
  <c r="N138" i="213" s="1"/>
  <c r="O138" i="213" s="1"/>
  <c r="H138" i="213"/>
  <c r="I138" i="213" s="1"/>
  <c r="F138" i="213"/>
  <c r="G138" i="213" s="1"/>
  <c r="M137" i="213"/>
  <c r="N137" i="213" s="1"/>
  <c r="O137" i="213" s="1"/>
  <c r="F137" i="213"/>
  <c r="G137" i="213" s="1"/>
  <c r="M136" i="213"/>
  <c r="N136" i="213" s="1"/>
  <c r="O136" i="213" s="1"/>
  <c r="H136" i="213"/>
  <c r="I136" i="213" s="1"/>
  <c r="F136" i="213"/>
  <c r="G136" i="213" s="1"/>
  <c r="M135" i="213"/>
  <c r="N135" i="213" s="1"/>
  <c r="O135" i="213" s="1"/>
  <c r="F135" i="213"/>
  <c r="G135" i="213" s="1"/>
  <c r="M95" i="213"/>
  <c r="N95" i="213" s="1"/>
  <c r="O95" i="213" s="1"/>
  <c r="F95" i="213"/>
  <c r="G95" i="213" s="1"/>
  <c r="M94" i="213"/>
  <c r="N94" i="213" s="1"/>
  <c r="O94" i="213" s="1"/>
  <c r="H94" i="213"/>
  <c r="I94" i="213" s="1"/>
  <c r="F94" i="213"/>
  <c r="G94" i="213" s="1"/>
  <c r="M93" i="213"/>
  <c r="N93" i="213" s="1"/>
  <c r="O93" i="213" s="1"/>
  <c r="H93" i="213"/>
  <c r="I93" i="213" s="1"/>
  <c r="F93" i="213"/>
  <c r="G93" i="213" s="1"/>
  <c r="M92" i="213" l="1"/>
  <c r="N92" i="213" s="1"/>
  <c r="O92" i="213" s="1"/>
  <c r="H92" i="213"/>
  <c r="I92" i="213" s="1"/>
  <c r="F92" i="213"/>
  <c r="G92" i="213" s="1"/>
  <c r="M91" i="213"/>
  <c r="N91" i="213" s="1"/>
  <c r="O91" i="213" s="1"/>
  <c r="H91" i="213"/>
  <c r="I91" i="213" s="1"/>
  <c r="F91" i="213"/>
  <c r="G91" i="213" s="1"/>
  <c r="M90" i="213"/>
  <c r="N90" i="213" s="1"/>
  <c r="O90" i="213" s="1"/>
  <c r="I90" i="213"/>
  <c r="F90" i="213"/>
  <c r="G90" i="213" s="1"/>
  <c r="M89" i="213"/>
  <c r="N89" i="213" s="1"/>
  <c r="O89" i="213" s="1"/>
  <c r="H89" i="213"/>
  <c r="I89" i="213" s="1"/>
  <c r="F89" i="213"/>
  <c r="G89" i="213" s="1"/>
  <c r="M88" i="213"/>
  <c r="N88" i="213" s="1"/>
  <c r="O88" i="213" s="1"/>
  <c r="H88" i="213"/>
  <c r="I88" i="213" s="1"/>
  <c r="F88" i="213"/>
  <c r="G88" i="213" s="1"/>
  <c r="M87" i="213"/>
  <c r="N87" i="213" s="1"/>
  <c r="O87" i="213" s="1"/>
  <c r="I87" i="213"/>
  <c r="F87" i="213"/>
  <c r="G87" i="213" s="1"/>
  <c r="M86" i="213"/>
  <c r="N86" i="213" s="1"/>
  <c r="O86" i="213" s="1"/>
  <c r="H86" i="213"/>
  <c r="I86" i="213" s="1"/>
  <c r="F86" i="213"/>
  <c r="G86" i="213" s="1"/>
  <c r="M85" i="213"/>
  <c r="N85" i="213" s="1"/>
  <c r="O85" i="213" s="1"/>
  <c r="H85" i="213"/>
  <c r="I85" i="213" s="1"/>
  <c r="F85" i="213"/>
  <c r="G85" i="213" s="1"/>
  <c r="M84" i="213"/>
  <c r="N84" i="213" s="1"/>
  <c r="O84" i="213" s="1"/>
  <c r="I84" i="213"/>
  <c r="F84" i="213"/>
  <c r="G84" i="213" s="1"/>
  <c r="M83" i="213"/>
  <c r="N83" i="213" s="1"/>
  <c r="O83" i="213" s="1"/>
  <c r="I83" i="213"/>
  <c r="F83" i="213"/>
  <c r="G83" i="213" s="1"/>
  <c r="M82" i="213"/>
  <c r="N82" i="213" s="1"/>
  <c r="O82" i="213" s="1"/>
  <c r="H82" i="213"/>
  <c r="I82" i="213" s="1"/>
  <c r="F82" i="213"/>
  <c r="G82" i="213" s="1"/>
  <c r="M81" i="213"/>
  <c r="N81" i="213" s="1"/>
  <c r="O81" i="213" s="1"/>
  <c r="H81" i="213"/>
  <c r="I81" i="213" s="1"/>
  <c r="F81" i="213"/>
  <c r="G81" i="213" s="1"/>
  <c r="M80" i="213"/>
  <c r="N80" i="213" s="1"/>
  <c r="O80" i="213" s="1"/>
  <c r="H80" i="213"/>
  <c r="I80" i="213" s="1"/>
  <c r="F80" i="213"/>
  <c r="G80" i="213" s="1"/>
  <c r="M79" i="213"/>
  <c r="N79" i="213" s="1"/>
  <c r="O79" i="213" s="1"/>
  <c r="I79" i="213"/>
  <c r="F79" i="213"/>
  <c r="G79" i="213" s="1"/>
  <c r="M78" i="213"/>
  <c r="N78" i="213" s="1"/>
  <c r="O78" i="213" s="1"/>
  <c r="I78" i="213"/>
  <c r="F78" i="213"/>
  <c r="G78" i="213" s="1"/>
  <c r="R145" i="213"/>
  <c r="Q144" i="213"/>
  <c r="O144" i="213"/>
  <c r="M142" i="213"/>
  <c r="M144" i="213" s="1"/>
  <c r="M141" i="213"/>
  <c r="N141" i="213" s="1"/>
  <c r="O141" i="213" s="1"/>
  <c r="M77" i="213"/>
  <c r="N77" i="213" s="1"/>
  <c r="O77" i="213" s="1"/>
  <c r="H77" i="213"/>
  <c r="I77" i="213" s="1"/>
  <c r="F77" i="213"/>
  <c r="I142" i="213" l="1"/>
  <c r="F142" i="213"/>
  <c r="G77" i="213"/>
  <c r="G142" i="213" s="1"/>
  <c r="P144" i="213"/>
  <c r="R144" i="213" s="1"/>
  <c r="O142" i="213"/>
  <c r="R21" i="212" l="1"/>
  <c r="Q20" i="212"/>
  <c r="O20" i="212"/>
  <c r="M18" i="212"/>
  <c r="M20" i="212" s="1"/>
  <c r="D18" i="212"/>
  <c r="M17" i="212"/>
  <c r="N17" i="212" s="1"/>
  <c r="O17" i="212" s="1"/>
  <c r="H17" i="212"/>
  <c r="I17" i="212" s="1"/>
  <c r="F17" i="212"/>
  <c r="G17" i="212" s="1"/>
  <c r="M16" i="212"/>
  <c r="N16" i="212" s="1"/>
  <c r="O16" i="212" s="1"/>
  <c r="H16" i="212"/>
  <c r="I16" i="212" s="1"/>
  <c r="F16" i="212"/>
  <c r="G16" i="212" s="1"/>
  <c r="R21" i="211"/>
  <c r="Q20" i="211"/>
  <c r="O20" i="211"/>
  <c r="M18" i="211"/>
  <c r="M20" i="211" s="1"/>
  <c r="D18" i="211"/>
  <c r="M17" i="211"/>
  <c r="N17" i="211" s="1"/>
  <c r="O17" i="211" s="1"/>
  <c r="H17" i="211"/>
  <c r="I17" i="211" s="1"/>
  <c r="F17" i="211"/>
  <c r="G17" i="211" s="1"/>
  <c r="M16" i="211"/>
  <c r="N16" i="211" s="1"/>
  <c r="O16" i="211" s="1"/>
  <c r="H16" i="211"/>
  <c r="I16" i="211" s="1"/>
  <c r="F16" i="211"/>
  <c r="G16" i="211" s="1"/>
  <c r="P20" i="212" l="1"/>
  <c r="R20" i="212" s="1"/>
  <c r="P20" i="211"/>
  <c r="R20" i="211" s="1"/>
  <c r="G18" i="212"/>
  <c r="I18" i="212"/>
  <c r="F18" i="212"/>
  <c r="O18" i="212"/>
  <c r="G18" i="211"/>
  <c r="I18" i="211"/>
  <c r="F18" i="211"/>
  <c r="O18" i="211"/>
  <c r="M19" i="210"/>
  <c r="N19" i="210" s="1"/>
  <c r="O19" i="210" s="1"/>
  <c r="H19" i="210"/>
  <c r="I19" i="210" s="1"/>
  <c r="F19" i="210"/>
  <c r="G19" i="210" s="1"/>
  <c r="R24" i="210"/>
  <c r="Q23" i="210"/>
  <c r="O23" i="210"/>
  <c r="M21" i="210"/>
  <c r="M23" i="210" s="1"/>
  <c r="D21" i="210"/>
  <c r="M20" i="210"/>
  <c r="N20" i="210" s="1"/>
  <c r="O20" i="210" s="1"/>
  <c r="H20" i="210"/>
  <c r="I20" i="210" s="1"/>
  <c r="F20" i="210"/>
  <c r="G20" i="210" s="1"/>
  <c r="M18" i="210"/>
  <c r="N18" i="210" s="1"/>
  <c r="O18" i="210" s="1"/>
  <c r="H18" i="210"/>
  <c r="I18" i="210" s="1"/>
  <c r="F18" i="210"/>
  <c r="G18" i="210" s="1"/>
  <c r="M17" i="210"/>
  <c r="N17" i="210" s="1"/>
  <c r="O17" i="210" s="1"/>
  <c r="H17" i="210"/>
  <c r="I17" i="210" s="1"/>
  <c r="F17" i="210"/>
  <c r="G17" i="210" s="1"/>
  <c r="M16" i="210"/>
  <c r="N16" i="210" s="1"/>
  <c r="O16" i="210" s="1"/>
  <c r="H16" i="210"/>
  <c r="I16" i="210" s="1"/>
  <c r="F16" i="210"/>
  <c r="G16" i="210" s="1"/>
  <c r="D21" i="209"/>
  <c r="M17" i="209"/>
  <c r="N17" i="209" s="1"/>
  <c r="O17" i="209" s="1"/>
  <c r="H17" i="209"/>
  <c r="I17" i="209" s="1"/>
  <c r="F17" i="209"/>
  <c r="G17" i="209" s="1"/>
  <c r="M18" i="209"/>
  <c r="N18" i="209" s="1"/>
  <c r="O18" i="209" s="1"/>
  <c r="H18" i="209"/>
  <c r="I18" i="209" s="1"/>
  <c r="F18" i="209"/>
  <c r="G18" i="209" s="1"/>
  <c r="M19" i="209"/>
  <c r="N19" i="209" s="1"/>
  <c r="O19" i="209" s="1"/>
  <c r="H19" i="209"/>
  <c r="I19" i="209" s="1"/>
  <c r="F19" i="209"/>
  <c r="G19" i="209" s="1"/>
  <c r="R24" i="209"/>
  <c r="Q23" i="209"/>
  <c r="O23" i="209"/>
  <c r="M21" i="209"/>
  <c r="M23" i="209" s="1"/>
  <c r="M20" i="209"/>
  <c r="N20" i="209" s="1"/>
  <c r="O20" i="209" s="1"/>
  <c r="H20" i="209"/>
  <c r="I20" i="209" s="1"/>
  <c r="F20" i="209"/>
  <c r="G20" i="209" s="1"/>
  <c r="M16" i="209"/>
  <c r="N16" i="209" s="1"/>
  <c r="O16" i="209" s="1"/>
  <c r="H16" i="209"/>
  <c r="I16" i="209" s="1"/>
  <c r="F16" i="209"/>
  <c r="G16" i="209" s="1"/>
  <c r="R21" i="208"/>
  <c r="Q20" i="208"/>
  <c r="O20" i="208"/>
  <c r="M18" i="208"/>
  <c r="M20" i="208" s="1"/>
  <c r="D18" i="208"/>
  <c r="M17" i="208"/>
  <c r="N17" i="208" s="1"/>
  <c r="O17" i="208" s="1"/>
  <c r="H17" i="208"/>
  <c r="I17" i="208" s="1"/>
  <c r="F17" i="208"/>
  <c r="G17" i="208" s="1"/>
  <c r="M16" i="208"/>
  <c r="N16" i="208" s="1"/>
  <c r="O16" i="208" s="1"/>
  <c r="H16" i="208"/>
  <c r="I16" i="208" s="1"/>
  <c r="F16" i="208"/>
  <c r="P23" i="210" l="1"/>
  <c r="R23" i="210" s="1"/>
  <c r="P23" i="209"/>
  <c r="R23" i="209" s="1"/>
  <c r="F21" i="210"/>
  <c r="I21" i="210"/>
  <c r="G21" i="210"/>
  <c r="O21" i="210"/>
  <c r="I21" i="209"/>
  <c r="F21" i="209"/>
  <c r="G21" i="209"/>
  <c r="O21" i="209"/>
  <c r="I18" i="208"/>
  <c r="P20" i="208"/>
  <c r="R20" i="208" s="1"/>
  <c r="F18" i="208"/>
  <c r="G16" i="208"/>
  <c r="G18" i="208" s="1"/>
  <c r="O18" i="208"/>
  <c r="F18" i="191"/>
  <c r="F17" i="191"/>
  <c r="H16" i="191"/>
  <c r="I16" i="191" s="1"/>
  <c r="H19" i="207" l="1"/>
  <c r="I19" i="207" s="1"/>
  <c r="F19" i="207"/>
  <c r="G19" i="207" s="1"/>
  <c r="H18" i="207"/>
  <c r="I18" i="207" s="1"/>
  <c r="F18" i="207"/>
  <c r="G18" i="207" s="1"/>
  <c r="H17" i="207"/>
  <c r="I17" i="207" s="1"/>
  <c r="F17" i="207"/>
  <c r="G17" i="207" s="1"/>
  <c r="D21" i="207"/>
  <c r="H16" i="207"/>
  <c r="I16" i="207" s="1"/>
  <c r="F16" i="207"/>
  <c r="F21" i="207" l="1"/>
  <c r="I21" i="207"/>
  <c r="G16" i="207"/>
  <c r="G21" i="207" s="1"/>
  <c r="D18" i="206"/>
  <c r="H16" i="206"/>
  <c r="I16" i="206" s="1"/>
  <c r="I18" i="206" s="1"/>
  <c r="F16" i="206"/>
  <c r="F18" i="206" s="1"/>
  <c r="D19" i="205"/>
  <c r="H17" i="205"/>
  <c r="I17" i="205" s="1"/>
  <c r="F17" i="205"/>
  <c r="G17" i="205" s="1"/>
  <c r="H16" i="205"/>
  <c r="I16" i="205" s="1"/>
  <c r="F16" i="205"/>
  <c r="H24" i="204"/>
  <c r="I24" i="204" s="1"/>
  <c r="H23" i="204"/>
  <c r="I23" i="204" s="1"/>
  <c r="H19" i="204"/>
  <c r="I19" i="204" s="1"/>
  <c r="A17" i="204"/>
  <c r="A18" i="204" s="1"/>
  <c r="A19" i="204" s="1"/>
  <c r="A20" i="204" s="1"/>
  <c r="A21" i="204" s="1"/>
  <c r="A22" i="204" s="1"/>
  <c r="A23" i="204" s="1"/>
  <c r="A24" i="204" s="1"/>
  <c r="A25" i="204" s="1"/>
  <c r="A26" i="204" s="1"/>
  <c r="A27" i="204" s="1"/>
  <c r="A28" i="204" s="1"/>
  <c r="F24" i="204"/>
  <c r="G24" i="204" s="1"/>
  <c r="F23" i="204"/>
  <c r="G23" i="204" s="1"/>
  <c r="H22" i="204"/>
  <c r="I22" i="204" s="1"/>
  <c r="F22" i="204"/>
  <c r="G22" i="204" s="1"/>
  <c r="H21" i="204"/>
  <c r="I21" i="204" s="1"/>
  <c r="F21" i="204"/>
  <c r="G21" i="204" s="1"/>
  <c r="H20" i="204"/>
  <c r="I20" i="204" s="1"/>
  <c r="F20" i="204"/>
  <c r="G20" i="204" s="1"/>
  <c r="F19" i="204"/>
  <c r="G19" i="204" s="1"/>
  <c r="H18" i="204"/>
  <c r="I18" i="204" s="1"/>
  <c r="F18" i="204"/>
  <c r="G18" i="204" s="1"/>
  <c r="H17" i="204"/>
  <c r="I17" i="204" s="1"/>
  <c r="F17" i="204"/>
  <c r="G17" i="204" s="1"/>
  <c r="H28" i="204"/>
  <c r="I28" i="204" s="1"/>
  <c r="F28" i="204"/>
  <c r="G28" i="204" s="1"/>
  <c r="H27" i="204"/>
  <c r="I27" i="204" s="1"/>
  <c r="F27" i="204"/>
  <c r="G27" i="204" s="1"/>
  <c r="H26" i="204"/>
  <c r="I26" i="204" s="1"/>
  <c r="F26" i="204"/>
  <c r="G26" i="204" s="1"/>
  <c r="H25" i="204"/>
  <c r="I25" i="204" s="1"/>
  <c r="F25" i="204"/>
  <c r="G25" i="204" s="1"/>
  <c r="D30" i="204"/>
  <c r="H16" i="204"/>
  <c r="I16" i="204" s="1"/>
  <c r="F16" i="204"/>
  <c r="D19" i="203"/>
  <c r="H17" i="203"/>
  <c r="I17" i="203" s="1"/>
  <c r="F17" i="203"/>
  <c r="G17" i="203" s="1"/>
  <c r="H16" i="203"/>
  <c r="I16" i="203" s="1"/>
  <c r="F16" i="203"/>
  <c r="I19" i="205" l="1"/>
  <c r="G16" i="206"/>
  <c r="G18" i="206" s="1"/>
  <c r="F19" i="205"/>
  <c r="G16" i="205"/>
  <c r="G19" i="205" s="1"/>
  <c r="I30" i="204"/>
  <c r="F30" i="204"/>
  <c r="G16" i="204"/>
  <c r="G30" i="204" s="1"/>
  <c r="I19" i="203"/>
  <c r="F19" i="203"/>
  <c r="G16" i="203"/>
  <c r="G19" i="203" s="1"/>
  <c r="D17" i="202"/>
  <c r="H16" i="202"/>
  <c r="I16" i="202" s="1"/>
  <c r="I17" i="202" s="1"/>
  <c r="F16" i="202"/>
  <c r="F17" i="202" s="1"/>
  <c r="H16" i="201"/>
  <c r="I16" i="201" s="1"/>
  <c r="D17" i="201"/>
  <c r="F16" i="201"/>
  <c r="F17" i="201" s="1"/>
  <c r="G16" i="202" l="1"/>
  <c r="G17" i="202" s="1"/>
  <c r="G16" i="201"/>
  <c r="G17" i="201" s="1"/>
  <c r="I17" i="201"/>
  <c r="D19" i="200"/>
  <c r="H18" i="200"/>
  <c r="I18" i="200" s="1"/>
  <c r="F18" i="200"/>
  <c r="G18" i="200" s="1"/>
  <c r="H17" i="200"/>
  <c r="I17" i="200" s="1"/>
  <c r="F17" i="200"/>
  <c r="G17" i="200" s="1"/>
  <c r="H16" i="200"/>
  <c r="I16" i="200" s="1"/>
  <c r="F16" i="200"/>
  <c r="F19" i="200" l="1"/>
  <c r="I19" i="200"/>
  <c r="G16" i="200"/>
  <c r="G19" i="200" s="1"/>
  <c r="H18" i="199"/>
  <c r="I18" i="199" s="1"/>
  <c r="F18" i="199"/>
  <c r="G18" i="199" s="1"/>
  <c r="H17" i="199"/>
  <c r="I17" i="199" s="1"/>
  <c r="F17" i="199"/>
  <c r="G17" i="199" s="1"/>
  <c r="D20" i="199" l="1"/>
  <c r="H16" i="199"/>
  <c r="I16" i="199" s="1"/>
  <c r="I20" i="199" s="1"/>
  <c r="F16" i="199"/>
  <c r="F20" i="199" s="1"/>
  <c r="D22" i="198"/>
  <c r="H17" i="198"/>
  <c r="I17" i="198" s="1"/>
  <c r="H18" i="198"/>
  <c r="I18" i="198" s="1"/>
  <c r="F17" i="198"/>
  <c r="G17" i="198" s="1"/>
  <c r="F18" i="198"/>
  <c r="G18" i="198" s="1"/>
  <c r="H19" i="198"/>
  <c r="I19" i="198" s="1"/>
  <c r="F19" i="198"/>
  <c r="G19" i="198" s="1"/>
  <c r="H20" i="198"/>
  <c r="I20" i="198" s="1"/>
  <c r="F20" i="198"/>
  <c r="G20" i="198" s="1"/>
  <c r="H16" i="198"/>
  <c r="I16" i="198" s="1"/>
  <c r="F16" i="198"/>
  <c r="G16" i="199" l="1"/>
  <c r="G20" i="199" s="1"/>
  <c r="F22" i="198"/>
  <c r="I22" i="198"/>
  <c r="G16" i="198"/>
  <c r="G22" i="198" s="1"/>
  <c r="D18" i="197"/>
  <c r="H16" i="197"/>
  <c r="I16" i="197" s="1"/>
  <c r="I18" i="197" s="1"/>
  <c r="F16" i="197"/>
  <c r="F18" i="197" s="1"/>
  <c r="H16" i="196"/>
  <c r="I16" i="196" s="1"/>
  <c r="I18" i="196" s="1"/>
  <c r="D18" i="196"/>
  <c r="F16" i="196"/>
  <c r="F18" i="196" s="1"/>
  <c r="R20" i="195"/>
  <c r="Q19" i="195"/>
  <c r="O19" i="195"/>
  <c r="M17" i="195"/>
  <c r="M19" i="195" s="1"/>
  <c r="D17" i="195"/>
  <c r="H16" i="195"/>
  <c r="I16" i="195" s="1"/>
  <c r="F16" i="195"/>
  <c r="G16" i="195" s="1"/>
  <c r="G16" i="196" l="1"/>
  <c r="G18" i="196" s="1"/>
  <c r="G16" i="197"/>
  <c r="G18" i="197" s="1"/>
  <c r="P19" i="195"/>
  <c r="R19" i="195" s="1"/>
  <c r="G17" i="195"/>
  <c r="I17" i="195"/>
  <c r="F17" i="195"/>
  <c r="O17" i="195"/>
  <c r="H17" i="194"/>
  <c r="I17" i="194" s="1"/>
  <c r="H16" i="194"/>
  <c r="I16" i="194" s="1"/>
  <c r="H20" i="194"/>
  <c r="I20" i="194" s="1"/>
  <c r="D22" i="194"/>
  <c r="F20" i="194"/>
  <c r="G20" i="194" s="1"/>
  <c r="H19" i="194"/>
  <c r="I19" i="194" s="1"/>
  <c r="F19" i="194"/>
  <c r="G19" i="194" s="1"/>
  <c r="H18" i="194"/>
  <c r="I18" i="194" s="1"/>
  <c r="F18" i="194"/>
  <c r="G18" i="194" s="1"/>
  <c r="F17" i="194"/>
  <c r="G17" i="194" s="1"/>
  <c r="F16" i="194"/>
  <c r="G16" i="194" s="1"/>
  <c r="F22" i="194" l="1"/>
  <c r="I22" i="194"/>
  <c r="G22" i="194"/>
  <c r="H20" i="193"/>
  <c r="I20" i="193" s="1"/>
  <c r="H22" i="193"/>
  <c r="I22" i="193" s="1"/>
  <c r="D24" i="193"/>
  <c r="H21" i="193"/>
  <c r="I21" i="193" s="1"/>
  <c r="H19" i="193"/>
  <c r="I19" i="193" s="1"/>
  <c r="H18" i="193"/>
  <c r="I18" i="193" s="1"/>
  <c r="H17" i="193"/>
  <c r="I17" i="193" s="1"/>
  <c r="F22" i="193"/>
  <c r="G22" i="193" s="1"/>
  <c r="F21" i="193"/>
  <c r="G21" i="193" s="1"/>
  <c r="F20" i="193"/>
  <c r="G20" i="193" s="1"/>
  <c r="F19" i="193"/>
  <c r="G19" i="193" s="1"/>
  <c r="F18" i="193"/>
  <c r="G18" i="193" s="1"/>
  <c r="F17" i="193"/>
  <c r="G17" i="193" s="1"/>
  <c r="F16" i="193"/>
  <c r="H16" i="193"/>
  <c r="I16" i="193" s="1"/>
  <c r="F24" i="193" l="1"/>
  <c r="I24" i="193"/>
  <c r="G16" i="193"/>
  <c r="G24" i="193" s="1"/>
  <c r="H16" i="192"/>
  <c r="I16" i="192" s="1"/>
  <c r="I18" i="192" s="1"/>
  <c r="D18" i="192"/>
  <c r="F16" i="192"/>
  <c r="G16" i="192" s="1"/>
  <c r="G18" i="192" l="1"/>
  <c r="F18" i="192"/>
  <c r="H19" i="191" l="1"/>
  <c r="I19" i="191" s="1"/>
  <c r="H18" i="191"/>
  <c r="I18" i="191" s="1"/>
  <c r="H17" i="191"/>
  <c r="I17" i="191" s="1"/>
  <c r="D21" i="191"/>
  <c r="F19" i="191"/>
  <c r="F16" i="191"/>
  <c r="G16" i="191" s="1"/>
  <c r="E18" i="190"/>
  <c r="H18" i="190" s="1"/>
  <c r="I18" i="190" s="1"/>
  <c r="D24" i="190"/>
  <c r="H22" i="190"/>
  <c r="I22" i="190" s="1"/>
  <c r="F22" i="190"/>
  <c r="G22" i="190" s="1"/>
  <c r="H21" i="190"/>
  <c r="I21" i="190" s="1"/>
  <c r="F21" i="190"/>
  <c r="G21" i="190" s="1"/>
  <c r="H20" i="190"/>
  <c r="I20" i="190" s="1"/>
  <c r="F20" i="190"/>
  <c r="G20" i="190" s="1"/>
  <c r="H19" i="190"/>
  <c r="I19" i="190" s="1"/>
  <c r="F19" i="190"/>
  <c r="G19" i="190" s="1"/>
  <c r="H17" i="190"/>
  <c r="I17" i="190" s="1"/>
  <c r="F17" i="190"/>
  <c r="G17" i="190" s="1"/>
  <c r="H16" i="190"/>
  <c r="I16" i="190" s="1"/>
  <c r="F16" i="190"/>
  <c r="D25" i="189"/>
  <c r="H23" i="189"/>
  <c r="I23" i="189" s="1"/>
  <c r="F23" i="189"/>
  <c r="G23" i="189" s="1"/>
  <c r="H22" i="189"/>
  <c r="I22" i="189" s="1"/>
  <c r="F22" i="189"/>
  <c r="G22" i="189" s="1"/>
  <c r="H21" i="189"/>
  <c r="I21" i="189" s="1"/>
  <c r="F21" i="189"/>
  <c r="G21" i="189" s="1"/>
  <c r="H20" i="189"/>
  <c r="I20" i="189" s="1"/>
  <c r="F20" i="189"/>
  <c r="G20" i="189" s="1"/>
  <c r="H19" i="189"/>
  <c r="I19" i="189" s="1"/>
  <c r="F19" i="189"/>
  <c r="G19" i="189" s="1"/>
  <c r="H18" i="189"/>
  <c r="I18" i="189" s="1"/>
  <c r="F18" i="189"/>
  <c r="G18" i="189" s="1"/>
  <c r="H17" i="189"/>
  <c r="I17" i="189" s="1"/>
  <c r="F17" i="189"/>
  <c r="G17" i="189" s="1"/>
  <c r="H16" i="189"/>
  <c r="I16" i="189" s="1"/>
  <c r="F16" i="189"/>
  <c r="D18" i="188"/>
  <c r="H16" i="188"/>
  <c r="I16" i="188" s="1"/>
  <c r="I18" i="188" s="1"/>
  <c r="F16" i="188"/>
  <c r="F18" i="188" s="1"/>
  <c r="I21" i="191" l="1"/>
  <c r="I25" i="189"/>
  <c r="F25" i="189"/>
  <c r="F21" i="191"/>
  <c r="G21" i="191"/>
  <c r="G18" i="190"/>
  <c r="F24" i="190"/>
  <c r="I24" i="190"/>
  <c r="G16" i="190"/>
  <c r="G16" i="189"/>
  <c r="G25" i="189" s="1"/>
  <c r="G16" i="188"/>
  <c r="G18" i="188" s="1"/>
  <c r="H18" i="187"/>
  <c r="I18" i="187" s="1"/>
  <c r="F18" i="187"/>
  <c r="G18" i="187" s="1"/>
  <c r="R24" i="187"/>
  <c r="Q23" i="187"/>
  <c r="O23" i="187"/>
  <c r="M21" i="187"/>
  <c r="M23" i="187" s="1"/>
  <c r="D21" i="187"/>
  <c r="M20" i="187"/>
  <c r="N20" i="187" s="1"/>
  <c r="O20" i="187" s="1"/>
  <c r="H20" i="187"/>
  <c r="I20" i="187" s="1"/>
  <c r="F20" i="187"/>
  <c r="G20" i="187" s="1"/>
  <c r="H19" i="187"/>
  <c r="I19" i="187" s="1"/>
  <c r="F19" i="187"/>
  <c r="G19" i="187" s="1"/>
  <c r="H17" i="187"/>
  <c r="I17" i="187" s="1"/>
  <c r="F17" i="187"/>
  <c r="G17" i="187" s="1"/>
  <c r="M16" i="187"/>
  <c r="N16" i="187" s="1"/>
  <c r="O16" i="187" s="1"/>
  <c r="H16" i="187"/>
  <c r="I16" i="187" s="1"/>
  <c r="F16" i="187"/>
  <c r="G16" i="187" s="1"/>
  <c r="H18" i="186"/>
  <c r="I18" i="186" s="1"/>
  <c r="F18" i="186"/>
  <c r="G18" i="186" s="1"/>
  <c r="H17" i="186"/>
  <c r="I17" i="186" s="1"/>
  <c r="F17" i="186"/>
  <c r="G17" i="186" s="1"/>
  <c r="D20" i="186"/>
  <c r="R23" i="186"/>
  <c r="Q22" i="186"/>
  <c r="O22" i="186"/>
  <c r="M20" i="186"/>
  <c r="M22" i="186" s="1"/>
  <c r="M19" i="186"/>
  <c r="N19" i="186" s="1"/>
  <c r="O19" i="186" s="1"/>
  <c r="H19" i="186"/>
  <c r="I19" i="186" s="1"/>
  <c r="F19" i="186"/>
  <c r="G19" i="186" s="1"/>
  <c r="M16" i="186"/>
  <c r="N16" i="186" s="1"/>
  <c r="O16" i="186" s="1"/>
  <c r="H16" i="186"/>
  <c r="I16" i="186" s="1"/>
  <c r="F16" i="186"/>
  <c r="G16" i="186" s="1"/>
  <c r="R21" i="185"/>
  <c r="Q20" i="185"/>
  <c r="O20" i="185"/>
  <c r="M18" i="185"/>
  <c r="O18" i="185" s="1"/>
  <c r="D18" i="185"/>
  <c r="M17" i="185"/>
  <c r="N17" i="185" s="1"/>
  <c r="O17" i="185" s="1"/>
  <c r="H17" i="185"/>
  <c r="I17" i="185" s="1"/>
  <c r="F17" i="185"/>
  <c r="M16" i="185"/>
  <c r="N16" i="185" s="1"/>
  <c r="O16" i="185" s="1"/>
  <c r="H16" i="185"/>
  <c r="I16" i="185" s="1"/>
  <c r="F16" i="185"/>
  <c r="G16" i="185" s="1"/>
  <c r="H16" i="184"/>
  <c r="I16" i="184" s="1"/>
  <c r="R21" i="184"/>
  <c r="Q20" i="184"/>
  <c r="O20" i="184"/>
  <c r="M18" i="184"/>
  <c r="M20" i="184" s="1"/>
  <c r="D18" i="184"/>
  <c r="M17" i="184"/>
  <c r="N17" i="184" s="1"/>
  <c r="O17" i="184" s="1"/>
  <c r="H17" i="184"/>
  <c r="I17" i="184" s="1"/>
  <c r="F17" i="184"/>
  <c r="G17" i="184" s="1"/>
  <c r="M16" i="184"/>
  <c r="N16" i="184" s="1"/>
  <c r="O16" i="184" s="1"/>
  <c r="F16" i="184"/>
  <c r="G16" i="184" s="1"/>
  <c r="I21" i="187" l="1"/>
  <c r="P20" i="184"/>
  <c r="R20" i="184" s="1"/>
  <c r="G24" i="190"/>
  <c r="I20" i="186"/>
  <c r="I18" i="185"/>
  <c r="F18" i="184"/>
  <c r="P23" i="187"/>
  <c r="R23" i="187" s="1"/>
  <c r="G21" i="187"/>
  <c r="F21" i="187"/>
  <c r="O21" i="187"/>
  <c r="P22" i="186"/>
  <c r="R22" i="186" s="1"/>
  <c r="G20" i="186"/>
  <c r="F20" i="186"/>
  <c r="O20" i="186"/>
  <c r="F18" i="185"/>
  <c r="G17" i="185"/>
  <c r="G18" i="185" s="1"/>
  <c r="M20" i="185"/>
  <c r="P20" i="185" s="1"/>
  <c r="R20" i="185" s="1"/>
  <c r="I18" i="184"/>
  <c r="G18" i="184"/>
  <c r="O18" i="184"/>
  <c r="H21" i="183"/>
  <c r="I21" i="183" s="1"/>
  <c r="H19" i="183"/>
  <c r="I19" i="183" s="1"/>
  <c r="H18" i="183"/>
  <c r="I18" i="183" s="1"/>
  <c r="H17" i="183"/>
  <c r="I17" i="183" s="1"/>
  <c r="H22" i="183"/>
  <c r="I22" i="183" s="1"/>
  <c r="F22" i="183"/>
  <c r="G22" i="183" s="1"/>
  <c r="F21" i="183"/>
  <c r="G21" i="183" s="1"/>
  <c r="H20" i="183"/>
  <c r="I20" i="183" s="1"/>
  <c r="F20" i="183"/>
  <c r="G20" i="183" s="1"/>
  <c r="F19" i="183"/>
  <c r="G19" i="183" s="1"/>
  <c r="F18" i="183"/>
  <c r="G18" i="183" s="1"/>
  <c r="F17" i="183"/>
  <c r="G17" i="183" s="1"/>
  <c r="R27" i="183"/>
  <c r="Q26" i="183"/>
  <c r="O26" i="183"/>
  <c r="M24" i="183"/>
  <c r="M26" i="183" s="1"/>
  <c r="D24" i="183"/>
  <c r="M23" i="183"/>
  <c r="N23" i="183" s="1"/>
  <c r="O23" i="183" s="1"/>
  <c r="H23" i="183"/>
  <c r="I23" i="183" s="1"/>
  <c r="F23" i="183"/>
  <c r="G23" i="183" s="1"/>
  <c r="M16" i="183"/>
  <c r="N16" i="183" s="1"/>
  <c r="O16" i="183" s="1"/>
  <c r="H16" i="183"/>
  <c r="I16" i="183" s="1"/>
  <c r="F16" i="183"/>
  <c r="G16" i="183" s="1"/>
  <c r="I24" i="183" l="1"/>
  <c r="G24" i="183"/>
  <c r="P26" i="183"/>
  <c r="R26" i="183" s="1"/>
  <c r="F24" i="183"/>
  <c r="O24" i="183"/>
  <c r="D17" i="181"/>
  <c r="H16" i="181"/>
  <c r="I16" i="181" s="1"/>
  <c r="I17" i="181" s="1"/>
  <c r="F16" i="181"/>
  <c r="F17" i="181" s="1"/>
  <c r="D20" i="180"/>
  <c r="H17" i="180"/>
  <c r="I17" i="180" s="1"/>
  <c r="F17" i="180"/>
  <c r="G17" i="180" s="1"/>
  <c r="H18" i="180"/>
  <c r="I18" i="180" s="1"/>
  <c r="F18" i="180"/>
  <c r="G18" i="180" s="1"/>
  <c r="H16" i="180"/>
  <c r="I16" i="180" s="1"/>
  <c r="F16" i="180"/>
  <c r="G16" i="180" s="1"/>
  <c r="H19" i="180"/>
  <c r="I19" i="180" s="1"/>
  <c r="F19" i="180"/>
  <c r="I20" i="180" l="1"/>
  <c r="F20" i="180"/>
  <c r="G16" i="181"/>
  <c r="G17" i="181" s="1"/>
  <c r="G19" i="180"/>
  <c r="G20" i="180" s="1"/>
  <c r="D17" i="179"/>
  <c r="H16" i="179"/>
  <c r="I16" i="179" s="1"/>
  <c r="I17" i="179" s="1"/>
  <c r="F16" i="179"/>
  <c r="F17" i="179" l="1"/>
  <c r="N16" i="179"/>
  <c r="O16" i="179" s="1"/>
  <c r="G16" i="179"/>
  <c r="G17" i="179" s="1"/>
  <c r="D21" i="177"/>
  <c r="D18" i="178"/>
  <c r="H16" i="178"/>
  <c r="I16" i="178" s="1"/>
  <c r="I18" i="178" s="1"/>
  <c r="F16" i="178"/>
  <c r="F18" i="178" s="1"/>
  <c r="G16" i="178" l="1"/>
  <c r="G18" i="178" s="1"/>
  <c r="H19" i="177"/>
  <c r="I19" i="177" s="1"/>
  <c r="F19" i="177"/>
  <c r="G19" i="177" s="1"/>
  <c r="H18" i="177"/>
  <c r="I18" i="177" s="1"/>
  <c r="F18" i="177"/>
  <c r="G18" i="177" s="1"/>
  <c r="H17" i="177"/>
  <c r="I17" i="177" s="1"/>
  <c r="F17" i="177"/>
  <c r="G17" i="177" s="1"/>
  <c r="H16" i="177"/>
  <c r="I16" i="177" s="1"/>
  <c r="F16" i="177"/>
  <c r="G16" i="177" s="1"/>
  <c r="D18" i="176"/>
  <c r="H16" i="176"/>
  <c r="I16" i="176" s="1"/>
  <c r="I18" i="176" s="1"/>
  <c r="F16" i="176"/>
  <c r="F18" i="176" s="1"/>
  <c r="R21" i="175"/>
  <c r="Q20" i="175"/>
  <c r="O20" i="175"/>
  <c r="M18" i="175"/>
  <c r="M20" i="175" s="1"/>
  <c r="D18" i="175"/>
  <c r="M17" i="175"/>
  <c r="N17" i="175" s="1"/>
  <c r="O17" i="175" s="1"/>
  <c r="H17" i="175"/>
  <c r="I17" i="175" s="1"/>
  <c r="F17" i="175"/>
  <c r="G17" i="175" s="1"/>
  <c r="M16" i="175"/>
  <c r="N16" i="175" s="1"/>
  <c r="O16" i="175" s="1"/>
  <c r="H16" i="175"/>
  <c r="I16" i="175" s="1"/>
  <c r="F16" i="175"/>
  <c r="D18" i="174"/>
  <c r="H16" i="174"/>
  <c r="I16" i="174" s="1"/>
  <c r="I18" i="174" s="1"/>
  <c r="F16" i="174"/>
  <c r="F18" i="174" s="1"/>
  <c r="P20" i="175" l="1"/>
  <c r="R20" i="175" s="1"/>
  <c r="F18" i="175"/>
  <c r="I21" i="177"/>
  <c r="G21" i="177"/>
  <c r="F21" i="177"/>
  <c r="G16" i="176"/>
  <c r="G18" i="176" s="1"/>
  <c r="G16" i="175"/>
  <c r="G18" i="175" s="1"/>
  <c r="I18" i="175"/>
  <c r="O18" i="175"/>
  <c r="G16" i="174"/>
  <c r="G18" i="174" s="1"/>
  <c r="D20" i="173"/>
  <c r="H18" i="173"/>
  <c r="I18" i="173" s="1"/>
  <c r="F18" i="173"/>
  <c r="G18" i="173" s="1"/>
  <c r="H17" i="173"/>
  <c r="I17" i="173" s="1"/>
  <c r="F17" i="173"/>
  <c r="G17" i="173" s="1"/>
  <c r="H16" i="173"/>
  <c r="I16" i="173" s="1"/>
  <c r="F16" i="173"/>
  <c r="F20" i="173" l="1"/>
  <c r="I20" i="173"/>
  <c r="G16" i="173"/>
  <c r="G20" i="173" s="1"/>
  <c r="H20" i="172" l="1"/>
  <c r="I20" i="172" s="1"/>
  <c r="H18" i="172"/>
  <c r="I18" i="172" s="1"/>
  <c r="H16" i="172"/>
  <c r="I16" i="172" s="1"/>
  <c r="A17" i="172"/>
  <c r="A18" i="172" s="1"/>
  <c r="A19" i="172" s="1"/>
  <c r="A20" i="172" s="1"/>
  <c r="A21" i="172" s="1"/>
  <c r="A22" i="172" s="1"/>
  <c r="A23" i="172" s="1"/>
  <c r="A24" i="172" s="1"/>
  <c r="A25" i="172" s="1"/>
  <c r="A26" i="172" s="1"/>
  <c r="A27" i="172" s="1"/>
  <c r="A28" i="172" s="1"/>
  <c r="A29" i="172" s="1"/>
  <c r="H17" i="172"/>
  <c r="I17" i="172" s="1"/>
  <c r="F17" i="172"/>
  <c r="G17" i="172" s="1"/>
  <c r="H23" i="172"/>
  <c r="I23" i="172" s="1"/>
  <c r="F23" i="172"/>
  <c r="G23" i="172" s="1"/>
  <c r="H22" i="172"/>
  <c r="I22" i="172" s="1"/>
  <c r="F22" i="172"/>
  <c r="G22" i="172" s="1"/>
  <c r="H21" i="172"/>
  <c r="I21" i="172" s="1"/>
  <c r="F21" i="172"/>
  <c r="G21" i="172" s="1"/>
  <c r="F20" i="172"/>
  <c r="G20" i="172" s="1"/>
  <c r="H19" i="172"/>
  <c r="I19" i="172" s="1"/>
  <c r="F19" i="172"/>
  <c r="G19" i="172" s="1"/>
  <c r="H26" i="172"/>
  <c r="I26" i="172" s="1"/>
  <c r="F26" i="172"/>
  <c r="G26" i="172" s="1"/>
  <c r="H25" i="172"/>
  <c r="I25" i="172" s="1"/>
  <c r="F25" i="172"/>
  <c r="G25" i="172" s="1"/>
  <c r="H24" i="172"/>
  <c r="I24" i="172" s="1"/>
  <c r="F24" i="172"/>
  <c r="G24" i="172" s="1"/>
  <c r="R34" i="172"/>
  <c r="Q33" i="172"/>
  <c r="O33" i="172"/>
  <c r="M31" i="172"/>
  <c r="M33" i="172" s="1"/>
  <c r="D31" i="172"/>
  <c r="M30" i="172"/>
  <c r="N30" i="172" s="1"/>
  <c r="O30" i="172" s="1"/>
  <c r="H30" i="172"/>
  <c r="I30" i="172" s="1"/>
  <c r="F30" i="172"/>
  <c r="G30" i="172" s="1"/>
  <c r="H29" i="172"/>
  <c r="I29" i="172" s="1"/>
  <c r="F29" i="172"/>
  <c r="G29" i="172" s="1"/>
  <c r="H28" i="172"/>
  <c r="I28" i="172" s="1"/>
  <c r="F28" i="172"/>
  <c r="G28" i="172" s="1"/>
  <c r="H27" i="172"/>
  <c r="I27" i="172" s="1"/>
  <c r="F27" i="172"/>
  <c r="G27" i="172" s="1"/>
  <c r="M16" i="172"/>
  <c r="N16" i="172" s="1"/>
  <c r="O16" i="172" s="1"/>
  <c r="F16" i="172"/>
  <c r="G16" i="172" s="1"/>
  <c r="F18" i="172" l="1"/>
  <c r="G18" i="172" s="1"/>
  <c r="G31" i="172" s="1"/>
  <c r="I31" i="172"/>
  <c r="P33" i="172"/>
  <c r="R33" i="172" s="1"/>
  <c r="O31" i="172"/>
  <c r="R24" i="171"/>
  <c r="Q23" i="171"/>
  <c r="O23" i="171"/>
  <c r="M21" i="171"/>
  <c r="M23" i="171" s="1"/>
  <c r="D21" i="171"/>
  <c r="M20" i="171"/>
  <c r="N20" i="171" s="1"/>
  <c r="O20" i="171" s="1"/>
  <c r="H20" i="171"/>
  <c r="I20" i="171" s="1"/>
  <c r="F20" i="171"/>
  <c r="G20" i="171" s="1"/>
  <c r="H19" i="171"/>
  <c r="I19" i="171" s="1"/>
  <c r="F19" i="171"/>
  <c r="G19" i="171" s="1"/>
  <c r="H18" i="171"/>
  <c r="I18" i="171" s="1"/>
  <c r="F18" i="171"/>
  <c r="G18" i="171" s="1"/>
  <c r="H17" i="171"/>
  <c r="I17" i="171" s="1"/>
  <c r="F17" i="171"/>
  <c r="M16" i="171"/>
  <c r="N16" i="171" s="1"/>
  <c r="O16" i="171" s="1"/>
  <c r="H16" i="171"/>
  <c r="I16" i="171" s="1"/>
  <c r="F16" i="171"/>
  <c r="G16" i="171" s="1"/>
  <c r="F21" i="171" l="1"/>
  <c r="F31" i="172"/>
  <c r="G17" i="171"/>
  <c r="G21" i="171" s="1"/>
  <c r="I21" i="171"/>
  <c r="P23" i="171"/>
  <c r="R23" i="171" s="1"/>
  <c r="O21" i="171"/>
  <c r="D17" i="170"/>
  <c r="H16" i="170"/>
  <c r="I16" i="170" s="1"/>
  <c r="I17" i="170" s="1"/>
  <c r="F16" i="170"/>
  <c r="F17" i="170" s="1"/>
  <c r="D17" i="169"/>
  <c r="H16" i="169"/>
  <c r="I16" i="169" s="1"/>
  <c r="I17" i="169" s="1"/>
  <c r="F16" i="169"/>
  <c r="G16" i="169" s="1"/>
  <c r="G16" i="170" l="1"/>
  <c r="G17" i="170" s="1"/>
  <c r="G17" i="169"/>
  <c r="F17" i="169"/>
  <c r="R24" i="168"/>
  <c r="Q23" i="168"/>
  <c r="O23" i="168"/>
  <c r="M21" i="168"/>
  <c r="M23" i="168" s="1"/>
  <c r="D21" i="168"/>
  <c r="M20" i="168"/>
  <c r="N20" i="168" s="1"/>
  <c r="O20" i="168" s="1"/>
  <c r="H20" i="168"/>
  <c r="I20" i="168" s="1"/>
  <c r="F20" i="168"/>
  <c r="G20" i="168" s="1"/>
  <c r="H19" i="168"/>
  <c r="I19" i="168" s="1"/>
  <c r="F19" i="168"/>
  <c r="G19" i="168" s="1"/>
  <c r="H18" i="168"/>
  <c r="I18" i="168" s="1"/>
  <c r="F18" i="168"/>
  <c r="G18" i="168" s="1"/>
  <c r="H17" i="168"/>
  <c r="I17" i="168" s="1"/>
  <c r="F17" i="168"/>
  <c r="G17" i="168" s="1"/>
  <c r="M16" i="168"/>
  <c r="N16" i="168" s="1"/>
  <c r="O16" i="168" s="1"/>
  <c r="H16" i="168"/>
  <c r="I16" i="168" s="1"/>
  <c r="F16" i="168"/>
  <c r="G16" i="168" s="1"/>
  <c r="F19" i="167"/>
  <c r="G19" i="167" s="1"/>
  <c r="R24" i="167"/>
  <c r="Q23" i="167"/>
  <c r="O23" i="167"/>
  <c r="M21" i="167"/>
  <c r="M23" i="167" s="1"/>
  <c r="D21" i="167"/>
  <c r="M20" i="167"/>
  <c r="N20" i="167" s="1"/>
  <c r="O20" i="167" s="1"/>
  <c r="H20" i="167"/>
  <c r="I20" i="167" s="1"/>
  <c r="F20" i="167"/>
  <c r="G20" i="167" s="1"/>
  <c r="H19" i="167"/>
  <c r="I19" i="167" s="1"/>
  <c r="H18" i="167"/>
  <c r="I18" i="167" s="1"/>
  <c r="F18" i="167"/>
  <c r="G18" i="167" s="1"/>
  <c r="H17" i="167"/>
  <c r="I17" i="167" s="1"/>
  <c r="F17" i="167"/>
  <c r="G17" i="167" s="1"/>
  <c r="M16" i="167"/>
  <c r="N16" i="167" s="1"/>
  <c r="O16" i="167" s="1"/>
  <c r="H16" i="167"/>
  <c r="I16" i="167" s="1"/>
  <c r="F16" i="167"/>
  <c r="G16" i="167" s="1"/>
  <c r="P23" i="168" l="1"/>
  <c r="R23" i="168" s="1"/>
  <c r="G21" i="168"/>
  <c r="I21" i="168"/>
  <c r="F21" i="168"/>
  <c r="O21" i="168"/>
  <c r="G21" i="167"/>
  <c r="P23" i="167"/>
  <c r="R23" i="167" s="1"/>
  <c r="I21" i="167"/>
  <c r="O21" i="167"/>
  <c r="F21" i="167"/>
  <c r="D18" i="166"/>
  <c r="H17" i="166"/>
  <c r="I17" i="166" s="1"/>
  <c r="F17" i="166"/>
  <c r="G17" i="166" s="1"/>
  <c r="H16" i="166"/>
  <c r="I16" i="166" s="1"/>
  <c r="F16" i="166"/>
  <c r="G16" i="166" s="1"/>
  <c r="D18" i="165"/>
  <c r="H17" i="165"/>
  <c r="I17" i="165" s="1"/>
  <c r="F17" i="165"/>
  <c r="G17" i="165" s="1"/>
  <c r="H16" i="165"/>
  <c r="I16" i="165" s="1"/>
  <c r="F16" i="165"/>
  <c r="G16" i="165" s="1"/>
  <c r="D17" i="164"/>
  <c r="H16" i="164"/>
  <c r="I16" i="164" s="1"/>
  <c r="I17" i="164" s="1"/>
  <c r="F16" i="164"/>
  <c r="G16" i="164" s="1"/>
  <c r="G17" i="164" s="1"/>
  <c r="D17" i="163"/>
  <c r="H16" i="163"/>
  <c r="I16" i="163" s="1"/>
  <c r="I17" i="163" s="1"/>
  <c r="F16" i="163"/>
  <c r="F17" i="163" s="1"/>
  <c r="I18" i="166" l="1"/>
  <c r="G18" i="166"/>
  <c r="F18" i="166"/>
  <c r="F18" i="165"/>
  <c r="I18" i="165"/>
  <c r="G18" i="165"/>
  <c r="F17" i="164"/>
  <c r="G16" i="163"/>
  <c r="G17" i="163" s="1"/>
  <c r="F17" i="162"/>
  <c r="G17" i="162" s="1"/>
  <c r="F16" i="162"/>
  <c r="G16" i="162" s="1"/>
  <c r="H17" i="162"/>
  <c r="I17" i="162" s="1"/>
  <c r="R21" i="162"/>
  <c r="Q20" i="162"/>
  <c r="O20" i="162"/>
  <c r="M18" i="162"/>
  <c r="M20" i="162" s="1"/>
  <c r="D18" i="162"/>
  <c r="M17" i="162"/>
  <c r="N17" i="162" s="1"/>
  <c r="O17" i="162" s="1"/>
  <c r="H16" i="162"/>
  <c r="I16" i="162" s="1"/>
  <c r="I18" i="162" l="1"/>
  <c r="P20" i="162"/>
  <c r="R20" i="162" s="1"/>
  <c r="G18" i="162"/>
  <c r="F18" i="162"/>
  <c r="O18" i="162"/>
  <c r="D27" i="160"/>
  <c r="H22" i="160"/>
  <c r="I22" i="160" s="1"/>
  <c r="F22" i="160"/>
  <c r="G22" i="160" s="1"/>
  <c r="H21" i="160"/>
  <c r="I21" i="160" s="1"/>
  <c r="F21" i="160"/>
  <c r="G21" i="160" s="1"/>
  <c r="H20" i="160"/>
  <c r="I20" i="160" s="1"/>
  <c r="F20" i="160"/>
  <c r="G20" i="160" s="1"/>
  <c r="H19" i="160"/>
  <c r="I19" i="160" s="1"/>
  <c r="F19" i="160"/>
  <c r="G19" i="160" s="1"/>
  <c r="H18" i="160"/>
  <c r="I18" i="160" s="1"/>
  <c r="F18" i="160"/>
  <c r="G18" i="160" s="1"/>
  <c r="H17" i="160"/>
  <c r="I17" i="160" s="1"/>
  <c r="F17" i="160"/>
  <c r="G17" i="160" s="1"/>
  <c r="H16" i="160"/>
  <c r="I16" i="160" s="1"/>
  <c r="F16" i="160"/>
  <c r="G16" i="160" s="1"/>
  <c r="H25" i="160"/>
  <c r="I25" i="160" s="1"/>
  <c r="F25" i="160"/>
  <c r="G25" i="160" s="1"/>
  <c r="H24" i="160"/>
  <c r="I24" i="160" s="1"/>
  <c r="F24" i="160"/>
  <c r="G24" i="160" s="1"/>
  <c r="H23" i="160"/>
  <c r="I23" i="160" s="1"/>
  <c r="F23" i="160"/>
  <c r="G23" i="160" s="1"/>
  <c r="D20" i="161"/>
  <c r="H17" i="161"/>
  <c r="I17" i="161" s="1"/>
  <c r="F17" i="161"/>
  <c r="G17" i="161" s="1"/>
  <c r="H18" i="161"/>
  <c r="I18" i="161" s="1"/>
  <c r="F18" i="161"/>
  <c r="G18" i="161" s="1"/>
  <c r="H16" i="161"/>
  <c r="I16" i="161" s="1"/>
  <c r="F16" i="161"/>
  <c r="G16" i="161" s="1"/>
  <c r="R30" i="160"/>
  <c r="Q29" i="160"/>
  <c r="O29" i="160"/>
  <c r="M27" i="160"/>
  <c r="M29" i="160" s="1"/>
  <c r="M26" i="160"/>
  <c r="N26" i="160" s="1"/>
  <c r="O26" i="160" s="1"/>
  <c r="D21" i="159"/>
  <c r="H16" i="159"/>
  <c r="I16" i="159" s="1"/>
  <c r="F16" i="159"/>
  <c r="G16" i="159" s="1"/>
  <c r="H18" i="159"/>
  <c r="I18" i="159" s="1"/>
  <c r="F18" i="159"/>
  <c r="G18" i="159" s="1"/>
  <c r="H19" i="159"/>
  <c r="I19" i="159" s="1"/>
  <c r="F19" i="159"/>
  <c r="G19" i="159" s="1"/>
  <c r="H17" i="159"/>
  <c r="I17" i="159" s="1"/>
  <c r="F17" i="159"/>
  <c r="G17" i="159" s="1"/>
  <c r="I20" i="161" l="1"/>
  <c r="F21" i="159"/>
  <c r="G21" i="159"/>
  <c r="I21" i="159"/>
  <c r="G20" i="161"/>
  <c r="I27" i="160"/>
  <c r="G27" i="160"/>
  <c r="F20" i="161"/>
  <c r="F27" i="160"/>
  <c r="P29" i="160"/>
  <c r="R29" i="160" s="1"/>
  <c r="O27" i="160"/>
  <c r="H16" i="158"/>
  <c r="I16" i="158" s="1"/>
  <c r="I18" i="158" s="1"/>
  <c r="R21" i="158"/>
  <c r="Q20" i="158"/>
  <c r="O20" i="158"/>
  <c r="M18" i="158"/>
  <c r="M20" i="158" s="1"/>
  <c r="D18" i="158"/>
  <c r="M17" i="158"/>
  <c r="N17" i="158" s="1"/>
  <c r="O17" i="158" s="1"/>
  <c r="F16" i="158"/>
  <c r="G16" i="158" l="1"/>
  <c r="G18" i="158" s="1"/>
  <c r="P20" i="158"/>
  <c r="R20" i="158" s="1"/>
  <c r="F18" i="158"/>
  <c r="O18" i="158"/>
  <c r="D17" i="157"/>
  <c r="H16" i="157"/>
  <c r="I16" i="157" s="1"/>
  <c r="I17" i="157" s="1"/>
  <c r="F16" i="157"/>
  <c r="G16" i="157" s="1"/>
  <c r="D19" i="156"/>
  <c r="H17" i="156"/>
  <c r="I17" i="156" s="1"/>
  <c r="F17" i="156"/>
  <c r="G17" i="156" s="1"/>
  <c r="H16" i="156"/>
  <c r="I16" i="156" s="1"/>
  <c r="F16" i="156"/>
  <c r="G16" i="156" s="1"/>
  <c r="H18" i="156"/>
  <c r="I18" i="156" s="1"/>
  <c r="F18" i="156"/>
  <c r="G18" i="156" s="1"/>
  <c r="D19" i="155"/>
  <c r="H18" i="155"/>
  <c r="I18" i="155" s="1"/>
  <c r="F18" i="155"/>
  <c r="G18" i="155" s="1"/>
  <c r="H17" i="155"/>
  <c r="I17" i="155" s="1"/>
  <c r="F17" i="155"/>
  <c r="G17" i="155" s="1"/>
  <c r="H16" i="155"/>
  <c r="I16" i="155" s="1"/>
  <c r="F16" i="155"/>
  <c r="D18" i="154"/>
  <c r="H16" i="154"/>
  <c r="I16" i="154" s="1"/>
  <c r="F16" i="154"/>
  <c r="G16" i="154" s="1"/>
  <c r="H17" i="154"/>
  <c r="I17" i="154" s="1"/>
  <c r="F17" i="154"/>
  <c r="G17" i="154" s="1"/>
  <c r="I18" i="154" l="1"/>
  <c r="I19" i="156"/>
  <c r="G19" i="156"/>
  <c r="F18" i="154"/>
  <c r="G18" i="154"/>
  <c r="F19" i="156"/>
  <c r="G17" i="157"/>
  <c r="F17" i="157"/>
  <c r="F19" i="155"/>
  <c r="I19" i="155"/>
  <c r="G16" i="155"/>
  <c r="G19" i="155" s="1"/>
  <c r="D17" i="153" l="1"/>
  <c r="H16" i="153"/>
  <c r="I16" i="153" s="1"/>
  <c r="I17" i="153" s="1"/>
  <c r="F16" i="153"/>
  <c r="F17" i="153" s="1"/>
  <c r="H16" i="152"/>
  <c r="I16" i="152" s="1"/>
  <c r="D19" i="152"/>
  <c r="H18" i="152"/>
  <c r="I18" i="152" s="1"/>
  <c r="F18" i="152"/>
  <c r="G18" i="152" s="1"/>
  <c r="H17" i="152"/>
  <c r="I17" i="152" s="1"/>
  <c r="F17" i="152"/>
  <c r="G17" i="152" s="1"/>
  <c r="F16" i="152"/>
  <c r="G16" i="152" s="1"/>
  <c r="R21" i="151"/>
  <c r="Q20" i="151"/>
  <c r="O20" i="151"/>
  <c r="M18" i="151"/>
  <c r="M20" i="151" s="1"/>
  <c r="D18" i="151"/>
  <c r="M17" i="151"/>
  <c r="N17" i="151" s="1"/>
  <c r="O17" i="151" s="1"/>
  <c r="H17" i="151"/>
  <c r="I17" i="151" s="1"/>
  <c r="F17" i="151"/>
  <c r="G17" i="151" s="1"/>
  <c r="H16" i="151"/>
  <c r="I16" i="151" s="1"/>
  <c r="F16" i="151"/>
  <c r="G16" i="151" s="1"/>
  <c r="P20" i="151" l="1"/>
  <c r="R20" i="151" s="1"/>
  <c r="I18" i="151"/>
  <c r="G16" i="153"/>
  <c r="G17" i="153" s="1"/>
  <c r="G19" i="152"/>
  <c r="I19" i="152"/>
  <c r="F19" i="152"/>
  <c r="G18" i="151"/>
  <c r="F18" i="151"/>
  <c r="O18" i="151"/>
  <c r="H17" i="150" l="1"/>
  <c r="I17" i="150" s="1"/>
  <c r="F17" i="150"/>
  <c r="G17" i="150" s="1"/>
  <c r="H19" i="150"/>
  <c r="I19" i="150" s="1"/>
  <c r="F19" i="150"/>
  <c r="G19" i="150" s="1"/>
  <c r="H18" i="150"/>
  <c r="I18" i="150" s="1"/>
  <c r="F18" i="150"/>
  <c r="G18" i="150" s="1"/>
  <c r="H20" i="150"/>
  <c r="I20" i="150" s="1"/>
  <c r="F20" i="150"/>
  <c r="G20" i="150" s="1"/>
  <c r="R26" i="150"/>
  <c r="Q25" i="150"/>
  <c r="O25" i="150"/>
  <c r="M23" i="150"/>
  <c r="M25" i="150" s="1"/>
  <c r="D23" i="150"/>
  <c r="M22" i="150"/>
  <c r="N22" i="150" s="1"/>
  <c r="O22" i="150" s="1"/>
  <c r="H22" i="150"/>
  <c r="I22" i="150" s="1"/>
  <c r="F22" i="150"/>
  <c r="G22" i="150" s="1"/>
  <c r="H21" i="150"/>
  <c r="I21" i="150" s="1"/>
  <c r="F21" i="150"/>
  <c r="G21" i="150" s="1"/>
  <c r="M16" i="150"/>
  <c r="N16" i="150" s="1"/>
  <c r="O16" i="150" s="1"/>
  <c r="H16" i="150"/>
  <c r="I16" i="150" s="1"/>
  <c r="F16" i="150"/>
  <c r="G16" i="150" s="1"/>
  <c r="P25" i="150" l="1"/>
  <c r="R25" i="150" s="1"/>
  <c r="G23" i="150"/>
  <c r="I23" i="150"/>
  <c r="F23" i="150"/>
  <c r="O23" i="150"/>
  <c r="D23" i="149"/>
  <c r="H17" i="149"/>
  <c r="I17" i="149" s="1"/>
  <c r="F17" i="149"/>
  <c r="G17" i="149" s="1"/>
  <c r="H19" i="149"/>
  <c r="I19" i="149" s="1"/>
  <c r="F19" i="149"/>
  <c r="G19" i="149" s="1"/>
  <c r="H18" i="149"/>
  <c r="I18" i="149" s="1"/>
  <c r="F18" i="149"/>
  <c r="G18" i="149" s="1"/>
  <c r="R26" i="149"/>
  <c r="Q25" i="149"/>
  <c r="O25" i="149"/>
  <c r="M23" i="149"/>
  <c r="M25" i="149" s="1"/>
  <c r="M22" i="149"/>
  <c r="N22" i="149" s="1"/>
  <c r="O22" i="149" s="1"/>
  <c r="H21" i="149"/>
  <c r="I21" i="149" s="1"/>
  <c r="F21" i="149"/>
  <c r="G21" i="149" s="1"/>
  <c r="H20" i="149"/>
  <c r="I20" i="149" s="1"/>
  <c r="F20" i="149"/>
  <c r="G20" i="149" s="1"/>
  <c r="M16" i="149"/>
  <c r="N16" i="149" s="1"/>
  <c r="O16" i="149" s="1"/>
  <c r="H16" i="149"/>
  <c r="I16" i="149" s="1"/>
  <c r="F16" i="149"/>
  <c r="G16" i="149" s="1"/>
  <c r="H18" i="148"/>
  <c r="I18" i="148" s="1"/>
  <c r="F18" i="148"/>
  <c r="G18" i="148" s="1"/>
  <c r="H17" i="148"/>
  <c r="I17" i="148" s="1"/>
  <c r="F17" i="148"/>
  <c r="G17" i="148" s="1"/>
  <c r="R23" i="148"/>
  <c r="Q22" i="148"/>
  <c r="O22" i="148"/>
  <c r="M20" i="148"/>
  <c r="M22" i="148" s="1"/>
  <c r="D20" i="148"/>
  <c r="M19" i="148"/>
  <c r="N19" i="148" s="1"/>
  <c r="O19" i="148" s="1"/>
  <c r="M16" i="148"/>
  <c r="N16" i="148" s="1"/>
  <c r="O16" i="148" s="1"/>
  <c r="H16" i="148"/>
  <c r="I16" i="148" s="1"/>
  <c r="F16" i="148"/>
  <c r="G16" i="148" s="1"/>
  <c r="G23" i="149" l="1"/>
  <c r="I23" i="149"/>
  <c r="F23" i="149"/>
  <c r="P25" i="149"/>
  <c r="R25" i="149" s="1"/>
  <c r="O23" i="149"/>
  <c r="F20" i="148"/>
  <c r="G20" i="148"/>
  <c r="I20" i="148"/>
  <c r="P22" i="148"/>
  <c r="R22" i="148" s="1"/>
  <c r="O20" i="148"/>
  <c r="R22" i="147"/>
  <c r="Q21" i="147"/>
  <c r="O21" i="147"/>
  <c r="M19" i="147"/>
  <c r="M21" i="147" s="1"/>
  <c r="D19" i="147"/>
  <c r="M18" i="147"/>
  <c r="N18" i="147" s="1"/>
  <c r="O18" i="147" s="1"/>
  <c r="H18" i="147"/>
  <c r="I18" i="147" s="1"/>
  <c r="F18" i="147"/>
  <c r="G18" i="147" s="1"/>
  <c r="H17" i="147"/>
  <c r="I17" i="147" s="1"/>
  <c r="F17" i="147"/>
  <c r="G17" i="147" s="1"/>
  <c r="A17" i="147"/>
  <c r="M16" i="147"/>
  <c r="N16" i="147" s="1"/>
  <c r="O16" i="147" s="1"/>
  <c r="H16" i="147"/>
  <c r="I16" i="147" s="1"/>
  <c r="F16" i="147"/>
  <c r="F19" i="147" l="1"/>
  <c r="G16" i="147"/>
  <c r="G19" i="147" s="1"/>
  <c r="P21" i="147"/>
  <c r="R21" i="147" s="1"/>
  <c r="I19" i="147"/>
  <c r="O19" i="147"/>
  <c r="D17" i="146"/>
  <c r="H16" i="146"/>
  <c r="I16" i="146" s="1"/>
  <c r="I17" i="146" s="1"/>
  <c r="F16" i="146"/>
  <c r="F17" i="146" s="1"/>
  <c r="D17" i="145"/>
  <c r="H16" i="145"/>
  <c r="I16" i="145" s="1"/>
  <c r="F16" i="145"/>
  <c r="G16" i="145" s="1"/>
  <c r="G17" i="145" s="1"/>
  <c r="D19" i="144"/>
  <c r="H18" i="144"/>
  <c r="I18" i="144" s="1"/>
  <c r="F18" i="144"/>
  <c r="G18" i="144" s="1"/>
  <c r="H17" i="144"/>
  <c r="I17" i="144" s="1"/>
  <c r="F17" i="144"/>
  <c r="G17" i="144" s="1"/>
  <c r="H16" i="144"/>
  <c r="I16" i="144" s="1"/>
  <c r="F16" i="144"/>
  <c r="F19" i="144" l="1"/>
  <c r="G16" i="146"/>
  <c r="G17" i="146" s="1"/>
  <c r="I17" i="145"/>
  <c r="F17" i="145"/>
  <c r="I19" i="144"/>
  <c r="G16" i="144"/>
  <c r="G19" i="144" s="1"/>
  <c r="H16" i="143"/>
  <c r="I16" i="143" s="1"/>
  <c r="H19" i="143"/>
  <c r="I19" i="143" s="1"/>
  <c r="F19" i="143"/>
  <c r="G19" i="143" s="1"/>
  <c r="D21" i="143"/>
  <c r="H18" i="143"/>
  <c r="I18" i="143" s="1"/>
  <c r="F18" i="143"/>
  <c r="G18" i="143" s="1"/>
  <c r="H20" i="143"/>
  <c r="I20" i="143" s="1"/>
  <c r="F20" i="143"/>
  <c r="G20" i="143" s="1"/>
  <c r="H17" i="143"/>
  <c r="I17" i="143" s="1"/>
  <c r="F17" i="143"/>
  <c r="G17" i="143" s="1"/>
  <c r="F16" i="143"/>
  <c r="I21" i="143" l="1"/>
  <c r="F21" i="143"/>
  <c r="G16" i="143"/>
  <c r="G21" i="143" s="1"/>
  <c r="R21" i="142"/>
  <c r="Q20" i="142"/>
  <c r="O20" i="142"/>
  <c r="M18" i="142"/>
  <c r="M20" i="142" s="1"/>
  <c r="D18" i="142"/>
  <c r="M17" i="142"/>
  <c r="N17" i="142" s="1"/>
  <c r="O17" i="142" s="1"/>
  <c r="H17" i="142"/>
  <c r="I17" i="142" s="1"/>
  <c r="F17" i="142"/>
  <c r="G17" i="142" s="1"/>
  <c r="H16" i="142"/>
  <c r="I16" i="142" s="1"/>
  <c r="F16" i="142"/>
  <c r="G16" i="142" s="1"/>
  <c r="P20" i="142" l="1"/>
  <c r="R20" i="142" s="1"/>
  <c r="I18" i="142"/>
  <c r="G18" i="142"/>
  <c r="O18" i="142"/>
  <c r="F18" i="142"/>
  <c r="H17" i="141"/>
  <c r="I17" i="141" s="1"/>
  <c r="F17" i="141"/>
  <c r="G17" i="141" s="1"/>
  <c r="R23" i="141"/>
  <c r="Q22" i="141"/>
  <c r="O22" i="141"/>
  <c r="M20" i="141"/>
  <c r="M22" i="141" s="1"/>
  <c r="D20" i="141"/>
  <c r="M19" i="141"/>
  <c r="N19" i="141" s="1"/>
  <c r="O19" i="141" s="1"/>
  <c r="H19" i="141"/>
  <c r="I19" i="141" s="1"/>
  <c r="F19" i="141"/>
  <c r="G19" i="141" s="1"/>
  <c r="H18" i="141"/>
  <c r="I18" i="141" s="1"/>
  <c r="F18" i="141"/>
  <c r="G18" i="141" s="1"/>
  <c r="H16" i="141"/>
  <c r="I16" i="141" s="1"/>
  <c r="F16" i="141"/>
  <c r="G16" i="141" s="1"/>
  <c r="P22" i="141" l="1"/>
  <c r="R22" i="141" s="1"/>
  <c r="I20" i="141"/>
  <c r="G20" i="141"/>
  <c r="O20" i="141"/>
  <c r="F20" i="141"/>
  <c r="D19" i="138"/>
  <c r="H17" i="140"/>
  <c r="I17" i="140" s="1"/>
  <c r="H16" i="140"/>
  <c r="I16" i="140" s="1"/>
  <c r="D19" i="140"/>
  <c r="H18" i="140"/>
  <c r="I18" i="140" s="1"/>
  <c r="F17" i="140"/>
  <c r="G17" i="140" s="1"/>
  <c r="A17" i="140"/>
  <c r="F16" i="140"/>
  <c r="G16" i="140" s="1"/>
  <c r="F18" i="140" l="1"/>
  <c r="G18" i="140" s="1"/>
  <c r="I19" i="140"/>
  <c r="H16" i="138"/>
  <c r="G19" i="140" l="1"/>
  <c r="F19" i="140"/>
  <c r="R25" i="139"/>
  <c r="Q24" i="139"/>
  <c r="O24" i="139"/>
  <c r="M22" i="139"/>
  <c r="M24" i="139" s="1"/>
  <c r="D22" i="139"/>
  <c r="M21" i="139"/>
  <c r="N21" i="139" s="1"/>
  <c r="O21" i="139" s="1"/>
  <c r="H21" i="139"/>
  <c r="I21" i="139" s="1"/>
  <c r="F21" i="139"/>
  <c r="G21" i="139" s="1"/>
  <c r="H20" i="139"/>
  <c r="I20" i="139" s="1"/>
  <c r="F20" i="139"/>
  <c r="G20" i="139" s="1"/>
  <c r="H19" i="139"/>
  <c r="I19" i="139" s="1"/>
  <c r="F19" i="139"/>
  <c r="G19" i="139" s="1"/>
  <c r="H18" i="139"/>
  <c r="I18" i="139" s="1"/>
  <c r="F18" i="139"/>
  <c r="G18" i="139" s="1"/>
  <c r="H17" i="139"/>
  <c r="I17" i="139" s="1"/>
  <c r="F17" i="139"/>
  <c r="G17" i="139" s="1"/>
  <c r="A17" i="139"/>
  <c r="A18" i="139" s="1"/>
  <c r="A19" i="139" s="1"/>
  <c r="A20" i="139" s="1"/>
  <c r="M16" i="139"/>
  <c r="N16" i="139" s="1"/>
  <c r="O16" i="139" s="1"/>
  <c r="H16" i="139"/>
  <c r="I16" i="139" s="1"/>
  <c r="F16" i="139"/>
  <c r="O22" i="139" l="1"/>
  <c r="P24" i="139"/>
  <c r="R24" i="139" s="1"/>
  <c r="F22" i="139"/>
  <c r="G16" i="139"/>
  <c r="G22" i="139" s="1"/>
  <c r="I22" i="139"/>
  <c r="R22" i="138"/>
  <c r="Q21" i="138"/>
  <c r="O21" i="138"/>
  <c r="M19" i="138"/>
  <c r="M21" i="138" s="1"/>
  <c r="M18" i="138"/>
  <c r="N18" i="138" s="1"/>
  <c r="O18" i="138" s="1"/>
  <c r="H18" i="138"/>
  <c r="I18" i="138" s="1"/>
  <c r="F18" i="138"/>
  <c r="G18" i="138" s="1"/>
  <c r="H17" i="138"/>
  <c r="I17" i="138" s="1"/>
  <c r="F17" i="138"/>
  <c r="G17" i="138" s="1"/>
  <c r="I16" i="138"/>
  <c r="F16" i="138"/>
  <c r="I19" i="138" l="1"/>
  <c r="G16" i="138"/>
  <c r="G19" i="138" s="1"/>
  <c r="F19" i="138"/>
  <c r="P21" i="138"/>
  <c r="R21" i="138" s="1"/>
  <c r="O19" i="138"/>
  <c r="R21" i="137"/>
  <c r="Q20" i="137"/>
  <c r="O20" i="137"/>
  <c r="M18" i="137"/>
  <c r="O18" i="137" s="1"/>
  <c r="D18" i="137"/>
  <c r="M17" i="137"/>
  <c r="N17" i="137" s="1"/>
  <c r="O17" i="137" s="1"/>
  <c r="H17" i="137"/>
  <c r="I17" i="137" s="1"/>
  <c r="F17" i="137"/>
  <c r="G17" i="137" s="1"/>
  <c r="M16" i="137"/>
  <c r="N16" i="137" s="1"/>
  <c r="O16" i="137" s="1"/>
  <c r="H16" i="137"/>
  <c r="I16" i="137" s="1"/>
  <c r="F16" i="137"/>
  <c r="G16" i="137" s="1"/>
  <c r="G18" i="137" l="1"/>
  <c r="I18" i="137"/>
  <c r="F18" i="137"/>
  <c r="M20" i="137"/>
  <c r="P20" i="137" s="1"/>
  <c r="R20" i="137" s="1"/>
  <c r="R21" i="136"/>
  <c r="Q20" i="136"/>
  <c r="O20" i="136"/>
  <c r="M18" i="136"/>
  <c r="M20" i="136" s="1"/>
  <c r="D18" i="136"/>
  <c r="M17" i="136"/>
  <c r="N17" i="136" s="1"/>
  <c r="O17" i="136" s="1"/>
  <c r="M16" i="136"/>
  <c r="N16" i="136" s="1"/>
  <c r="O16" i="136" s="1"/>
  <c r="H16" i="136"/>
  <c r="I16" i="136" s="1"/>
  <c r="F16" i="136"/>
  <c r="F18" i="136" s="1"/>
  <c r="R22" i="135"/>
  <c r="Q21" i="135"/>
  <c r="O21" i="135"/>
  <c r="M19" i="135"/>
  <c r="M21" i="135" s="1"/>
  <c r="D19" i="135"/>
  <c r="M18" i="135"/>
  <c r="N18" i="135" s="1"/>
  <c r="O18" i="135" s="1"/>
  <c r="M17" i="135"/>
  <c r="N17" i="135" s="1"/>
  <c r="O17" i="135" s="1"/>
  <c r="H17" i="135"/>
  <c r="I17" i="135" s="1"/>
  <c r="F17" i="135"/>
  <c r="G17" i="135" s="1"/>
  <c r="M16" i="135"/>
  <c r="N16" i="135" s="1"/>
  <c r="O16" i="135" s="1"/>
  <c r="H16" i="135"/>
  <c r="I16" i="135" s="1"/>
  <c r="F16" i="135"/>
  <c r="G16" i="135" s="1"/>
  <c r="P20" i="136" l="1"/>
  <c r="R20" i="136" s="1"/>
  <c r="P21" i="135"/>
  <c r="R21" i="135" s="1"/>
  <c r="G16" i="136"/>
  <c r="G18" i="136" s="1"/>
  <c r="I18" i="136"/>
  <c r="O18" i="136"/>
  <c r="I19" i="135"/>
  <c r="G19" i="135"/>
  <c r="O19" i="135"/>
  <c r="F19" i="135"/>
  <c r="R21" i="134"/>
  <c r="Q20" i="134"/>
  <c r="O20" i="134"/>
  <c r="M18" i="134"/>
  <c r="M20" i="134" s="1"/>
  <c r="D18" i="134"/>
  <c r="M17" i="134"/>
  <c r="N17" i="134" s="1"/>
  <c r="O17" i="134" s="1"/>
  <c r="H17" i="134"/>
  <c r="I17" i="134" s="1"/>
  <c r="F17" i="134"/>
  <c r="G17" i="134" s="1"/>
  <c r="M16" i="134"/>
  <c r="N16" i="134" s="1"/>
  <c r="O16" i="134" s="1"/>
  <c r="H16" i="134"/>
  <c r="I16" i="134" s="1"/>
  <c r="F16" i="134"/>
  <c r="P20" i="134" l="1"/>
  <c r="R20" i="134" s="1"/>
  <c r="F18" i="134"/>
  <c r="I18" i="134"/>
  <c r="G16" i="134"/>
  <c r="G18" i="134" s="1"/>
  <c r="O18" i="134"/>
  <c r="H17" i="133"/>
  <c r="I17" i="133" s="1"/>
  <c r="F17" i="133"/>
  <c r="G17" i="133" s="1"/>
  <c r="D19" i="133"/>
  <c r="H18" i="133"/>
  <c r="I18" i="133" s="1"/>
  <c r="F18" i="133"/>
  <c r="G18" i="133" s="1"/>
  <c r="H16" i="133"/>
  <c r="I16" i="133" s="1"/>
  <c r="F16" i="133"/>
  <c r="D18" i="132"/>
  <c r="H17" i="132"/>
  <c r="I17" i="132" s="1"/>
  <c r="F17" i="132"/>
  <c r="G17" i="132" s="1"/>
  <c r="H16" i="132"/>
  <c r="I16" i="132" s="1"/>
  <c r="F16" i="132"/>
  <c r="H17" i="131"/>
  <c r="I17" i="131" s="1"/>
  <c r="F17" i="131"/>
  <c r="G17" i="131" s="1"/>
  <c r="H18" i="131"/>
  <c r="I18" i="131" s="1"/>
  <c r="F18" i="131"/>
  <c r="G18" i="131" s="1"/>
  <c r="D20" i="131"/>
  <c r="H19" i="131"/>
  <c r="I19" i="131" s="1"/>
  <c r="F19" i="131"/>
  <c r="G19" i="131" s="1"/>
  <c r="H16" i="131"/>
  <c r="I16" i="131" s="1"/>
  <c r="F16" i="131"/>
  <c r="F19" i="133" l="1"/>
  <c r="I19" i="133"/>
  <c r="G16" i="133"/>
  <c r="G19" i="133" s="1"/>
  <c r="F18" i="132"/>
  <c r="I18" i="132"/>
  <c r="G16" i="132"/>
  <c r="G18" i="132" s="1"/>
  <c r="I20" i="131"/>
  <c r="F20" i="131"/>
  <c r="G16" i="131"/>
  <c r="G20" i="131" s="1"/>
  <c r="H17" i="130"/>
  <c r="I17" i="130" s="1"/>
  <c r="H22" i="130"/>
  <c r="I22" i="130" s="1"/>
  <c r="F22" i="130"/>
  <c r="G22" i="130" s="1"/>
  <c r="H21" i="130"/>
  <c r="I21" i="130" s="1"/>
  <c r="F21" i="130"/>
  <c r="G21" i="130" s="1"/>
  <c r="H20" i="130"/>
  <c r="I20" i="130" s="1"/>
  <c r="F20" i="130"/>
  <c r="G20" i="130" s="1"/>
  <c r="R30" i="130"/>
  <c r="Q29" i="130"/>
  <c r="O29" i="130"/>
  <c r="M27" i="130"/>
  <c r="O27" i="130" s="1"/>
  <c r="D27" i="130"/>
  <c r="M26" i="130"/>
  <c r="N26" i="130" s="1"/>
  <c r="O26" i="130" s="1"/>
  <c r="H26" i="130"/>
  <c r="I26" i="130" s="1"/>
  <c r="F26" i="130"/>
  <c r="G26" i="130" s="1"/>
  <c r="H25" i="130"/>
  <c r="I25" i="130" s="1"/>
  <c r="F25" i="130"/>
  <c r="G25" i="130" s="1"/>
  <c r="H24" i="130"/>
  <c r="I24" i="130" s="1"/>
  <c r="F24" i="130"/>
  <c r="G24" i="130" s="1"/>
  <c r="H23" i="130"/>
  <c r="I23" i="130" s="1"/>
  <c r="F23" i="130"/>
  <c r="G23" i="130" s="1"/>
  <c r="H19" i="130"/>
  <c r="I19" i="130" s="1"/>
  <c r="F19" i="130"/>
  <c r="G19" i="130" s="1"/>
  <c r="H18" i="130"/>
  <c r="I18" i="130" s="1"/>
  <c r="F18" i="130"/>
  <c r="G18" i="130" s="1"/>
  <c r="F17" i="130"/>
  <c r="G17" i="130" s="1"/>
  <c r="M16" i="130"/>
  <c r="N16" i="130" s="1"/>
  <c r="O16" i="130" s="1"/>
  <c r="H16" i="130"/>
  <c r="I16" i="130" s="1"/>
  <c r="F16" i="130"/>
  <c r="G16" i="130" s="1"/>
  <c r="G27" i="130" l="1"/>
  <c r="I27" i="130"/>
  <c r="F27" i="130"/>
  <c r="M29" i="130"/>
  <c r="P29" i="130" s="1"/>
  <c r="R29" i="130" s="1"/>
  <c r="D20" i="129"/>
  <c r="M18" i="129"/>
  <c r="N18" i="129" s="1"/>
  <c r="O18" i="129" s="1"/>
  <c r="H18" i="129"/>
  <c r="I18" i="129" s="1"/>
  <c r="F18" i="129"/>
  <c r="G18" i="129" s="1"/>
  <c r="R23" i="129"/>
  <c r="Q22" i="129"/>
  <c r="O22" i="129"/>
  <c r="M20" i="129"/>
  <c r="M22" i="129" s="1"/>
  <c r="M19" i="129"/>
  <c r="N19" i="129" s="1"/>
  <c r="O19" i="129" s="1"/>
  <c r="H19" i="129"/>
  <c r="I19" i="129" s="1"/>
  <c r="F19" i="129"/>
  <c r="G19" i="129" s="1"/>
  <c r="M17" i="129"/>
  <c r="N17" i="129" s="1"/>
  <c r="O17" i="129" s="1"/>
  <c r="H17" i="129"/>
  <c r="I17" i="129" s="1"/>
  <c r="F17" i="129"/>
  <c r="G17" i="129" s="1"/>
  <c r="M16" i="129"/>
  <c r="N16" i="129" s="1"/>
  <c r="O16" i="129" s="1"/>
  <c r="H16" i="129"/>
  <c r="I16" i="129" s="1"/>
  <c r="F16" i="129"/>
  <c r="G16" i="129" s="1"/>
  <c r="M17" i="128"/>
  <c r="N17" i="128" s="1"/>
  <c r="O17" i="128" s="1"/>
  <c r="H17" i="128"/>
  <c r="I17" i="128" s="1"/>
  <c r="F17" i="128"/>
  <c r="G17" i="128" s="1"/>
  <c r="R22" i="128"/>
  <c r="Q21" i="128"/>
  <c r="O21" i="128"/>
  <c r="M19" i="128"/>
  <c r="M21" i="128" s="1"/>
  <c r="D19" i="128"/>
  <c r="M18" i="128"/>
  <c r="N18" i="128" s="1"/>
  <c r="O18" i="128" s="1"/>
  <c r="H18" i="128"/>
  <c r="I18" i="128" s="1"/>
  <c r="F18" i="128"/>
  <c r="G18" i="128" s="1"/>
  <c r="M16" i="128"/>
  <c r="N16" i="128" s="1"/>
  <c r="O16" i="128" s="1"/>
  <c r="H16" i="128"/>
  <c r="I16" i="128" s="1"/>
  <c r="F16" i="128"/>
  <c r="G16" i="128" s="1"/>
  <c r="P21" i="128" l="1"/>
  <c r="R21" i="128" s="1"/>
  <c r="P22" i="129"/>
  <c r="R22" i="129" s="1"/>
  <c r="F20" i="129"/>
  <c r="G20" i="129"/>
  <c r="I20" i="129"/>
  <c r="O20" i="129"/>
  <c r="G19" i="128"/>
  <c r="I19" i="128"/>
  <c r="F19" i="128"/>
  <c r="O19" i="128"/>
  <c r="R21" i="127" l="1"/>
  <c r="Q20" i="127"/>
  <c r="O20" i="127"/>
  <c r="M18" i="127"/>
  <c r="M20" i="127" s="1"/>
  <c r="D18" i="127"/>
  <c r="M17" i="127"/>
  <c r="N17" i="127" s="1"/>
  <c r="O17" i="127" s="1"/>
  <c r="H17" i="127"/>
  <c r="I17" i="127" s="1"/>
  <c r="F17" i="127"/>
  <c r="G17" i="127" s="1"/>
  <c r="M16" i="127"/>
  <c r="N16" i="127" s="1"/>
  <c r="O16" i="127" s="1"/>
  <c r="H16" i="127"/>
  <c r="I16" i="127" s="1"/>
  <c r="F16" i="127"/>
  <c r="G16" i="127" s="1"/>
  <c r="P20" i="127" l="1"/>
  <c r="R20" i="127" s="1"/>
  <c r="F18" i="127"/>
  <c r="I18" i="127"/>
  <c r="G18" i="127"/>
  <c r="O18" i="127"/>
  <c r="H28" i="126" l="1"/>
  <c r="I28" i="126" s="1"/>
  <c r="H27" i="126"/>
  <c r="I27" i="126" s="1"/>
  <c r="H23" i="126"/>
  <c r="I23" i="126" s="1"/>
  <c r="H25" i="126"/>
  <c r="I25" i="126" s="1"/>
  <c r="A17" i="126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A28" i="126" s="1"/>
  <c r="H22" i="126"/>
  <c r="I22" i="126" s="1"/>
  <c r="F22" i="126"/>
  <c r="G22" i="126" s="1"/>
  <c r="H21" i="126"/>
  <c r="I21" i="126" s="1"/>
  <c r="F21" i="126"/>
  <c r="G21" i="126" s="1"/>
  <c r="H20" i="126"/>
  <c r="I20" i="126" s="1"/>
  <c r="F20" i="126"/>
  <c r="G20" i="126" s="1"/>
  <c r="H19" i="126"/>
  <c r="I19" i="126" s="1"/>
  <c r="F19" i="126"/>
  <c r="G19" i="126" s="1"/>
  <c r="H18" i="126"/>
  <c r="I18" i="126" s="1"/>
  <c r="F18" i="126"/>
  <c r="G18" i="126" s="1"/>
  <c r="H17" i="126"/>
  <c r="I17" i="126" s="1"/>
  <c r="F17" i="126"/>
  <c r="G17" i="126" s="1"/>
  <c r="R33" i="126"/>
  <c r="Q32" i="126"/>
  <c r="O32" i="126"/>
  <c r="M30" i="126"/>
  <c r="M32" i="126" s="1"/>
  <c r="D30" i="126"/>
  <c r="M29" i="126"/>
  <c r="N29" i="126" s="1"/>
  <c r="O29" i="126" s="1"/>
  <c r="H29" i="126"/>
  <c r="I29" i="126" s="1"/>
  <c r="F29" i="126"/>
  <c r="G29" i="126" s="1"/>
  <c r="F28" i="126"/>
  <c r="G28" i="126" s="1"/>
  <c r="F27" i="126"/>
  <c r="G27" i="126" s="1"/>
  <c r="H26" i="126"/>
  <c r="I26" i="126" s="1"/>
  <c r="F26" i="126"/>
  <c r="G26" i="126" s="1"/>
  <c r="F25" i="126"/>
  <c r="G25" i="126" s="1"/>
  <c r="H24" i="126"/>
  <c r="I24" i="126" s="1"/>
  <c r="F24" i="126"/>
  <c r="G24" i="126" s="1"/>
  <c r="F23" i="126"/>
  <c r="G23" i="126" s="1"/>
  <c r="M16" i="126"/>
  <c r="N16" i="126" s="1"/>
  <c r="O16" i="126" s="1"/>
  <c r="H16" i="126"/>
  <c r="I16" i="126" s="1"/>
  <c r="F16" i="126"/>
  <c r="G16" i="126" s="1"/>
  <c r="P32" i="126" l="1"/>
  <c r="R32" i="126" s="1"/>
  <c r="I30" i="126"/>
  <c r="G30" i="126"/>
  <c r="F30" i="126"/>
  <c r="O30" i="126"/>
  <c r="D18" i="125"/>
  <c r="H17" i="125"/>
  <c r="I17" i="125" s="1"/>
  <c r="F17" i="125"/>
  <c r="G17" i="125" s="1"/>
  <c r="H16" i="125"/>
  <c r="I16" i="125" s="1"/>
  <c r="F16" i="125"/>
  <c r="D17" i="124"/>
  <c r="H16" i="124"/>
  <c r="I16" i="124" s="1"/>
  <c r="I17" i="124" s="1"/>
  <c r="F16" i="124"/>
  <c r="F17" i="124" s="1"/>
  <c r="I18" i="125" l="1"/>
  <c r="F18" i="125"/>
  <c r="G16" i="125"/>
  <c r="G18" i="125" s="1"/>
  <c r="G16" i="124"/>
  <c r="G17" i="124" s="1"/>
  <c r="D17" i="123"/>
  <c r="H16" i="123"/>
  <c r="I16" i="123" s="1"/>
  <c r="I17" i="123" s="1"/>
  <c r="F16" i="123"/>
  <c r="F17" i="123" s="1"/>
  <c r="D17" i="122"/>
  <c r="H16" i="122"/>
  <c r="I16" i="122" s="1"/>
  <c r="I17" i="122" s="1"/>
  <c r="F16" i="122"/>
  <c r="G16" i="122" s="1"/>
  <c r="G17" i="122" s="1"/>
  <c r="G16" i="123" l="1"/>
  <c r="G17" i="123" s="1"/>
  <c r="F17" i="122"/>
  <c r="R20" i="121"/>
  <c r="Q19" i="121"/>
  <c r="O19" i="121"/>
  <c r="M17" i="121"/>
  <c r="M19" i="121" s="1"/>
  <c r="D17" i="121"/>
  <c r="M16" i="121"/>
  <c r="N16" i="121" s="1"/>
  <c r="O16" i="121" s="1"/>
  <c r="H16" i="121"/>
  <c r="I16" i="121" s="1"/>
  <c r="I17" i="121" s="1"/>
  <c r="F16" i="121"/>
  <c r="G16" i="121" s="1"/>
  <c r="G17" i="121" s="1"/>
  <c r="P19" i="121" l="1"/>
  <c r="R19" i="121" s="1"/>
  <c r="F17" i="121"/>
  <c r="O17" i="121"/>
  <c r="D24" i="120"/>
  <c r="H22" i="120"/>
  <c r="I22" i="120" s="1"/>
  <c r="F22" i="120"/>
  <c r="G22" i="120" s="1"/>
  <c r="H21" i="120"/>
  <c r="I21" i="120" s="1"/>
  <c r="F21" i="120"/>
  <c r="G21" i="120" s="1"/>
  <c r="H20" i="120"/>
  <c r="I20" i="120" s="1"/>
  <c r="F20" i="120"/>
  <c r="G20" i="120" s="1"/>
  <c r="H19" i="120"/>
  <c r="I19" i="120" s="1"/>
  <c r="F19" i="120"/>
  <c r="G19" i="120" s="1"/>
  <c r="H18" i="120"/>
  <c r="I18" i="120" s="1"/>
  <c r="F18" i="120"/>
  <c r="G18" i="120" s="1"/>
  <c r="H17" i="120"/>
  <c r="I17" i="120" s="1"/>
  <c r="F17" i="120"/>
  <c r="G17" i="120" s="1"/>
  <c r="R27" i="120"/>
  <c r="Q26" i="120"/>
  <c r="O26" i="120"/>
  <c r="M24" i="120"/>
  <c r="O24" i="120" s="1"/>
  <c r="M23" i="120"/>
  <c r="N23" i="120" s="1"/>
  <c r="O23" i="120" s="1"/>
  <c r="H23" i="120"/>
  <c r="I23" i="120" s="1"/>
  <c r="F23" i="120"/>
  <c r="G23" i="120" s="1"/>
  <c r="M16" i="120"/>
  <c r="N16" i="120" s="1"/>
  <c r="O16" i="120" s="1"/>
  <c r="H16" i="120"/>
  <c r="I16" i="120" s="1"/>
  <c r="F16" i="120"/>
  <c r="G16" i="120" s="1"/>
  <c r="G24" i="120" l="1"/>
  <c r="I24" i="120"/>
  <c r="M26" i="120"/>
  <c r="P26" i="120" s="1"/>
  <c r="R26" i="120" s="1"/>
  <c r="F24" i="120"/>
  <c r="R21" i="119"/>
  <c r="Q20" i="119"/>
  <c r="O20" i="119"/>
  <c r="M18" i="119"/>
  <c r="M20" i="119" s="1"/>
  <c r="D18" i="119"/>
  <c r="M17" i="119"/>
  <c r="N17" i="119" s="1"/>
  <c r="O17" i="119" s="1"/>
  <c r="H17" i="119"/>
  <c r="I17" i="119" s="1"/>
  <c r="F17" i="119"/>
  <c r="G17" i="119" s="1"/>
  <c r="M16" i="119"/>
  <c r="N16" i="119" s="1"/>
  <c r="O16" i="119" s="1"/>
  <c r="H16" i="119"/>
  <c r="I16" i="119" s="1"/>
  <c r="F16" i="119"/>
  <c r="I18" i="119" l="1"/>
  <c r="F18" i="119"/>
  <c r="P20" i="119"/>
  <c r="R20" i="119" s="1"/>
  <c r="G16" i="119"/>
  <c r="G18" i="119" s="1"/>
  <c r="O18" i="119"/>
  <c r="D31" i="118"/>
  <c r="D34" i="117"/>
  <c r="R34" i="118"/>
  <c r="Q33" i="118"/>
  <c r="O33" i="118"/>
  <c r="M31" i="118"/>
  <c r="M33" i="118" s="1"/>
  <c r="M30" i="118"/>
  <c r="N30" i="118" s="1"/>
  <c r="O30" i="118" s="1"/>
  <c r="H30" i="118"/>
  <c r="I30" i="118" s="1"/>
  <c r="F30" i="118"/>
  <c r="G30" i="118" s="1"/>
  <c r="M29" i="118"/>
  <c r="N29" i="118" s="1"/>
  <c r="O29" i="118" s="1"/>
  <c r="H29" i="118"/>
  <c r="I29" i="118" s="1"/>
  <c r="F29" i="118"/>
  <c r="G29" i="118" s="1"/>
  <c r="M28" i="118"/>
  <c r="H28" i="118"/>
  <c r="I28" i="118" s="1"/>
  <c r="F28" i="118"/>
  <c r="G28" i="118" s="1"/>
  <c r="M27" i="118"/>
  <c r="H27" i="118"/>
  <c r="I27" i="118" s="1"/>
  <c r="F27" i="118"/>
  <c r="G27" i="118" s="1"/>
  <c r="M26" i="118"/>
  <c r="H26" i="118"/>
  <c r="I26" i="118" s="1"/>
  <c r="F26" i="118"/>
  <c r="G26" i="118" s="1"/>
  <c r="M25" i="118"/>
  <c r="H25" i="118"/>
  <c r="I25" i="118" s="1"/>
  <c r="F25" i="118"/>
  <c r="G25" i="118" s="1"/>
  <c r="M24" i="118"/>
  <c r="H24" i="118"/>
  <c r="I24" i="118" s="1"/>
  <c r="F24" i="118"/>
  <c r="G24" i="118" s="1"/>
  <c r="M23" i="118"/>
  <c r="H23" i="118"/>
  <c r="I23" i="118" s="1"/>
  <c r="F23" i="118"/>
  <c r="G23" i="118" s="1"/>
  <c r="M22" i="118"/>
  <c r="H22" i="118"/>
  <c r="I22" i="118" s="1"/>
  <c r="F22" i="118"/>
  <c r="G22" i="118" s="1"/>
  <c r="M21" i="118"/>
  <c r="H21" i="118"/>
  <c r="I21" i="118" s="1"/>
  <c r="F21" i="118"/>
  <c r="G21" i="118" s="1"/>
  <c r="M20" i="118"/>
  <c r="H20" i="118"/>
  <c r="I20" i="118" s="1"/>
  <c r="F20" i="118"/>
  <c r="G20" i="118" s="1"/>
  <c r="M19" i="118"/>
  <c r="H19" i="118"/>
  <c r="I19" i="118" s="1"/>
  <c r="F19" i="118"/>
  <c r="G19" i="118" s="1"/>
  <c r="M18" i="118"/>
  <c r="H18" i="118"/>
  <c r="I18" i="118" s="1"/>
  <c r="F18" i="118"/>
  <c r="G18" i="118" s="1"/>
  <c r="M17" i="118"/>
  <c r="H17" i="118"/>
  <c r="I17" i="118" s="1"/>
  <c r="F17" i="118"/>
  <c r="G17" i="118" s="1"/>
  <c r="M16" i="118"/>
  <c r="N16" i="118" s="1"/>
  <c r="O16" i="118" s="1"/>
  <c r="H16" i="118"/>
  <c r="I16" i="118" s="1"/>
  <c r="F16" i="118"/>
  <c r="R37" i="117"/>
  <c r="Q36" i="117"/>
  <c r="O36" i="117"/>
  <c r="M34" i="117"/>
  <c r="M36" i="117" s="1"/>
  <c r="M33" i="117"/>
  <c r="N33" i="117" s="1"/>
  <c r="O33" i="117" s="1"/>
  <c r="H33" i="117"/>
  <c r="I33" i="117" s="1"/>
  <c r="F33" i="117"/>
  <c r="G33" i="117" s="1"/>
  <c r="M32" i="117"/>
  <c r="N32" i="117" s="1"/>
  <c r="O32" i="117" s="1"/>
  <c r="H32" i="117"/>
  <c r="I32" i="117" s="1"/>
  <c r="F32" i="117"/>
  <c r="G32" i="117" s="1"/>
  <c r="M31" i="117"/>
  <c r="H31" i="117"/>
  <c r="I31" i="117" s="1"/>
  <c r="F31" i="117"/>
  <c r="G31" i="117" s="1"/>
  <c r="M30" i="117"/>
  <c r="N30" i="117" s="1"/>
  <c r="O30" i="117" s="1"/>
  <c r="H30" i="117"/>
  <c r="I30" i="117" s="1"/>
  <c r="F30" i="117"/>
  <c r="G30" i="117" s="1"/>
  <c r="M29" i="117"/>
  <c r="H29" i="117"/>
  <c r="I29" i="117" s="1"/>
  <c r="F29" i="117"/>
  <c r="G29" i="117" s="1"/>
  <c r="M28" i="117"/>
  <c r="H28" i="117"/>
  <c r="I28" i="117" s="1"/>
  <c r="F28" i="117"/>
  <c r="G28" i="117" s="1"/>
  <c r="M27" i="117"/>
  <c r="H27" i="117"/>
  <c r="I27" i="117" s="1"/>
  <c r="F27" i="117"/>
  <c r="G27" i="117" s="1"/>
  <c r="M26" i="117"/>
  <c r="H26" i="117"/>
  <c r="I26" i="117" s="1"/>
  <c r="F26" i="117"/>
  <c r="G26" i="117" s="1"/>
  <c r="M25" i="117"/>
  <c r="H25" i="117"/>
  <c r="I25" i="117" s="1"/>
  <c r="F25" i="117"/>
  <c r="G25" i="117" s="1"/>
  <c r="M24" i="117"/>
  <c r="H24" i="117"/>
  <c r="I24" i="117" s="1"/>
  <c r="F24" i="117"/>
  <c r="G24" i="117" s="1"/>
  <c r="M23" i="117"/>
  <c r="H23" i="117"/>
  <c r="I23" i="117" s="1"/>
  <c r="F23" i="117"/>
  <c r="G23" i="117" s="1"/>
  <c r="M22" i="117"/>
  <c r="H22" i="117"/>
  <c r="I22" i="117" s="1"/>
  <c r="F22" i="117"/>
  <c r="G22" i="117" s="1"/>
  <c r="M21" i="117"/>
  <c r="H21" i="117"/>
  <c r="I21" i="117" s="1"/>
  <c r="F21" i="117"/>
  <c r="G21" i="117" s="1"/>
  <c r="M20" i="117"/>
  <c r="H20" i="117"/>
  <c r="I20" i="117" s="1"/>
  <c r="F20" i="117"/>
  <c r="G20" i="117" s="1"/>
  <c r="M19" i="117"/>
  <c r="H19" i="117"/>
  <c r="I19" i="117" s="1"/>
  <c r="F19" i="117"/>
  <c r="G19" i="117" s="1"/>
  <c r="M18" i="117"/>
  <c r="H18" i="117"/>
  <c r="I18" i="117" s="1"/>
  <c r="F18" i="117"/>
  <c r="G18" i="117" s="1"/>
  <c r="M17" i="117"/>
  <c r="H17" i="117"/>
  <c r="I17" i="117" s="1"/>
  <c r="F17" i="117"/>
  <c r="G17" i="117" s="1"/>
  <c r="M16" i="117"/>
  <c r="N16" i="117" s="1"/>
  <c r="O16" i="117" s="1"/>
  <c r="H16" i="117"/>
  <c r="I16" i="117" s="1"/>
  <c r="F16" i="117"/>
  <c r="N24" i="117" l="1"/>
  <c r="O24" i="117" s="1"/>
  <c r="N19" i="117"/>
  <c r="O19" i="117" s="1"/>
  <c r="N27" i="117"/>
  <c r="O27" i="117" s="1"/>
  <c r="N29" i="117"/>
  <c r="O29" i="117" s="1"/>
  <c r="N20" i="117"/>
  <c r="O20" i="117" s="1"/>
  <c r="N25" i="117"/>
  <c r="O25" i="117" s="1"/>
  <c r="N17" i="118"/>
  <c r="O17" i="118" s="1"/>
  <c r="N21" i="118"/>
  <c r="O21" i="118" s="1"/>
  <c r="N25" i="118"/>
  <c r="O25" i="118" s="1"/>
  <c r="P33" i="118"/>
  <c r="R33" i="118" s="1"/>
  <c r="P36" i="117"/>
  <c r="R36" i="117" s="1"/>
  <c r="N19" i="118"/>
  <c r="O19" i="118" s="1"/>
  <c r="N27" i="118"/>
  <c r="O27" i="118" s="1"/>
  <c r="N28" i="117"/>
  <c r="O28" i="117" s="1"/>
  <c r="F31" i="118"/>
  <c r="N20" i="118"/>
  <c r="O20" i="118" s="1"/>
  <c r="N24" i="118"/>
  <c r="O24" i="118" s="1"/>
  <c r="N23" i="117"/>
  <c r="O23" i="117" s="1"/>
  <c r="N26" i="117"/>
  <c r="O26" i="117" s="1"/>
  <c r="N31" i="117"/>
  <c r="O31" i="117" s="1"/>
  <c r="N28" i="118"/>
  <c r="O28" i="118" s="1"/>
  <c r="F34" i="117"/>
  <c r="I34" i="117"/>
  <c r="I31" i="118"/>
  <c r="G16" i="117"/>
  <c r="G34" i="117" s="1"/>
  <c r="G16" i="118"/>
  <c r="G31" i="118" s="1"/>
  <c r="N23" i="118"/>
  <c r="O23" i="118" s="1"/>
  <c r="N26" i="118"/>
  <c r="O26" i="118" s="1"/>
  <c r="N17" i="117"/>
  <c r="O17" i="117" s="1"/>
  <c r="N21" i="117"/>
  <c r="O21" i="117" s="1"/>
  <c r="N22" i="118"/>
  <c r="O22" i="118" s="1"/>
  <c r="N18" i="118"/>
  <c r="O18" i="118" s="1"/>
  <c r="O31" i="118"/>
  <c r="N18" i="117"/>
  <c r="O18" i="117" s="1"/>
  <c r="N22" i="117"/>
  <c r="O22" i="117" s="1"/>
  <c r="O34" i="117"/>
  <c r="D17" i="116" l="1"/>
  <c r="H16" i="116"/>
  <c r="I16" i="116" s="1"/>
  <c r="I17" i="116" s="1"/>
  <c r="F16" i="116"/>
  <c r="F17" i="116" s="1"/>
  <c r="G16" i="116" l="1"/>
  <c r="G17" i="116" s="1"/>
  <c r="D17" i="115"/>
  <c r="H16" i="115"/>
  <c r="I16" i="115" s="1"/>
  <c r="F16" i="115"/>
  <c r="F17" i="115" s="1"/>
  <c r="G16" i="115" l="1"/>
  <c r="G17" i="115" s="1"/>
  <c r="I17" i="115"/>
  <c r="H28" i="114"/>
  <c r="I28" i="114" s="1"/>
  <c r="H27" i="114"/>
  <c r="I27" i="114" s="1"/>
  <c r="H26" i="114"/>
  <c r="I26" i="114" s="1"/>
  <c r="H21" i="114"/>
  <c r="I21" i="114" s="1"/>
  <c r="H20" i="114"/>
  <c r="I20" i="114" s="1"/>
  <c r="H19" i="114"/>
  <c r="I19" i="114" s="1"/>
  <c r="H17" i="114"/>
  <c r="I17" i="114" s="1"/>
  <c r="H16" i="114"/>
  <c r="I16" i="114" s="1"/>
  <c r="H42" i="114"/>
  <c r="I42" i="114" s="1"/>
  <c r="H41" i="114"/>
  <c r="I41" i="114" s="1"/>
  <c r="H40" i="114"/>
  <c r="I40" i="114" s="1"/>
  <c r="H39" i="114"/>
  <c r="I39" i="114" s="1"/>
  <c r="H38" i="114"/>
  <c r="I38" i="114" s="1"/>
  <c r="H37" i="114"/>
  <c r="I37" i="114" s="1"/>
  <c r="H36" i="114"/>
  <c r="H35" i="114"/>
  <c r="I35" i="114" s="1"/>
  <c r="H34" i="114"/>
  <c r="I34" i="114" s="1"/>
  <c r="H33" i="114"/>
  <c r="I33" i="114" s="1"/>
  <c r="H32" i="114"/>
  <c r="I32" i="114" s="1"/>
  <c r="H31" i="114"/>
  <c r="I31" i="114" s="1"/>
  <c r="H30" i="114"/>
  <c r="I30" i="114" s="1"/>
  <c r="H29" i="114"/>
  <c r="I29" i="114" s="1"/>
  <c r="H25" i="114"/>
  <c r="I25" i="114" s="1"/>
  <c r="H24" i="114"/>
  <c r="I24" i="114" s="1"/>
  <c r="H23" i="114"/>
  <c r="I23" i="114" s="1"/>
  <c r="H22" i="114"/>
  <c r="I22" i="114" s="1"/>
  <c r="H18" i="114"/>
  <c r="I18" i="114" s="1"/>
  <c r="D43" i="114"/>
  <c r="A17" i="114"/>
  <c r="A18" i="114" s="1"/>
  <c r="A19" i="114" s="1"/>
  <c r="A20" i="114" s="1"/>
  <c r="A21" i="114" s="1"/>
  <c r="A22" i="114" s="1"/>
  <c r="A23" i="114" s="1"/>
  <c r="A24" i="114" s="1"/>
  <c r="A25" i="114" s="1"/>
  <c r="A26" i="114" s="1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A37" i="114" s="1"/>
  <c r="A38" i="114" s="1"/>
  <c r="A39" i="114" s="1"/>
  <c r="A40" i="114" s="1"/>
  <c r="A41" i="114" s="1"/>
  <c r="A42" i="114" s="1"/>
  <c r="M29" i="114"/>
  <c r="F29" i="114"/>
  <c r="G29" i="114" s="1"/>
  <c r="M28" i="114"/>
  <c r="F28" i="114"/>
  <c r="G28" i="114" s="1"/>
  <c r="M27" i="114"/>
  <c r="F27" i="114"/>
  <c r="G27" i="114" s="1"/>
  <c r="M26" i="114"/>
  <c r="F26" i="114"/>
  <c r="G26" i="114" s="1"/>
  <c r="M25" i="114"/>
  <c r="F25" i="114"/>
  <c r="G25" i="114" s="1"/>
  <c r="M24" i="114"/>
  <c r="F24" i="114"/>
  <c r="G24" i="114" s="1"/>
  <c r="M23" i="114"/>
  <c r="F23" i="114"/>
  <c r="G23" i="114" s="1"/>
  <c r="M22" i="114"/>
  <c r="F22" i="114"/>
  <c r="G22" i="114" s="1"/>
  <c r="M21" i="114"/>
  <c r="F21" i="114"/>
  <c r="G21" i="114" s="1"/>
  <c r="M20" i="114"/>
  <c r="F20" i="114"/>
  <c r="G20" i="114" s="1"/>
  <c r="M19" i="114"/>
  <c r="F19" i="114"/>
  <c r="G19" i="114" s="1"/>
  <c r="M18" i="114"/>
  <c r="F18" i="114"/>
  <c r="G18" i="114" s="1"/>
  <c r="M17" i="114"/>
  <c r="F17" i="114"/>
  <c r="G17" i="114" s="1"/>
  <c r="M16" i="114"/>
  <c r="F16" i="114"/>
  <c r="G16" i="114" s="1"/>
  <c r="M36" i="114"/>
  <c r="I36" i="114"/>
  <c r="F36" i="114"/>
  <c r="G36" i="114" s="1"/>
  <c r="M35" i="114"/>
  <c r="F35" i="114"/>
  <c r="G35" i="114" s="1"/>
  <c r="M34" i="114"/>
  <c r="F34" i="114"/>
  <c r="G34" i="114" s="1"/>
  <c r="M33" i="114"/>
  <c r="F33" i="114"/>
  <c r="G33" i="114" s="1"/>
  <c r="M32" i="114"/>
  <c r="F32" i="114"/>
  <c r="G32" i="114" s="1"/>
  <c r="M31" i="114"/>
  <c r="F31" i="114"/>
  <c r="G31" i="114" s="1"/>
  <c r="M30" i="114"/>
  <c r="F30" i="114"/>
  <c r="G30" i="114" s="1"/>
  <c r="F37" i="114"/>
  <c r="G37" i="114" s="1"/>
  <c r="M37" i="114"/>
  <c r="F38" i="114"/>
  <c r="G38" i="114" s="1"/>
  <c r="M38" i="114"/>
  <c r="F39" i="114"/>
  <c r="G39" i="114" s="1"/>
  <c r="M39" i="114"/>
  <c r="F40" i="114"/>
  <c r="G40" i="114" s="1"/>
  <c r="M40" i="114"/>
  <c r="F41" i="114"/>
  <c r="G41" i="114" s="1"/>
  <c r="M41" i="114"/>
  <c r="F42" i="114"/>
  <c r="G42" i="114" s="1"/>
  <c r="M42" i="114"/>
  <c r="N42" i="114" s="1"/>
  <c r="O42" i="114" s="1"/>
  <c r="O45" i="114"/>
  <c r="Q45" i="114"/>
  <c r="M43" i="114"/>
  <c r="M45" i="114" s="1"/>
  <c r="D23" i="113"/>
  <c r="H21" i="113"/>
  <c r="I21" i="113" s="1"/>
  <c r="H20" i="113"/>
  <c r="I20" i="113" s="1"/>
  <c r="H19" i="113"/>
  <c r="I19" i="113" s="1"/>
  <c r="H18" i="113"/>
  <c r="I18" i="113" s="1"/>
  <c r="M19" i="113"/>
  <c r="F19" i="113"/>
  <c r="G19" i="113" s="1"/>
  <c r="M18" i="113"/>
  <c r="F18" i="113"/>
  <c r="G18" i="113" s="1"/>
  <c r="M17" i="113"/>
  <c r="H17" i="113"/>
  <c r="I17" i="113" s="1"/>
  <c r="F17" i="113"/>
  <c r="G17" i="113" s="1"/>
  <c r="M20" i="113"/>
  <c r="F20" i="113"/>
  <c r="G20" i="113" s="1"/>
  <c r="M16" i="113"/>
  <c r="H16" i="113"/>
  <c r="I16" i="113" s="1"/>
  <c r="F16" i="113"/>
  <c r="G16" i="113" s="1"/>
  <c r="M21" i="113"/>
  <c r="F21" i="113"/>
  <c r="G21" i="113" s="1"/>
  <c r="M22" i="113"/>
  <c r="H22" i="113"/>
  <c r="I22" i="113" s="1"/>
  <c r="F22" i="113"/>
  <c r="O25" i="113" s="1"/>
  <c r="N38" i="114" l="1"/>
  <c r="O38" i="114" s="1"/>
  <c r="N16" i="113"/>
  <c r="O16" i="113" s="1"/>
  <c r="N27" i="114"/>
  <c r="O27" i="114" s="1"/>
  <c r="N30" i="114"/>
  <c r="O30" i="114" s="1"/>
  <c r="N40" i="114"/>
  <c r="O40" i="114" s="1"/>
  <c r="N23" i="114"/>
  <c r="O23" i="114" s="1"/>
  <c r="N26" i="114"/>
  <c r="O26" i="114" s="1"/>
  <c r="I23" i="113"/>
  <c r="N19" i="113"/>
  <c r="O19" i="113" s="1"/>
  <c r="N36" i="114"/>
  <c r="O36" i="114" s="1"/>
  <c r="N41" i="114"/>
  <c r="O41" i="114" s="1"/>
  <c r="N32" i="114"/>
  <c r="O32" i="114" s="1"/>
  <c r="N16" i="114"/>
  <c r="O16" i="114" s="1"/>
  <c r="N19" i="114"/>
  <c r="O19" i="114" s="1"/>
  <c r="F23" i="113"/>
  <c r="N31" i="114"/>
  <c r="O31" i="114" s="1"/>
  <c r="N35" i="114"/>
  <c r="O35" i="114" s="1"/>
  <c r="N18" i="114"/>
  <c r="O18" i="114" s="1"/>
  <c r="N18" i="113"/>
  <c r="O18" i="113" s="1"/>
  <c r="N34" i="114"/>
  <c r="O34" i="114" s="1"/>
  <c r="N17" i="114"/>
  <c r="O17" i="114" s="1"/>
  <c r="N25" i="114"/>
  <c r="O25" i="114" s="1"/>
  <c r="N28" i="114"/>
  <c r="O28" i="114" s="1"/>
  <c r="N21" i="113"/>
  <c r="O21" i="113" s="1"/>
  <c r="N17" i="113"/>
  <c r="O17" i="113" s="1"/>
  <c r="N39" i="114"/>
  <c r="O39" i="114" s="1"/>
  <c r="N24" i="114"/>
  <c r="O24" i="114" s="1"/>
  <c r="G43" i="114"/>
  <c r="I43" i="114"/>
  <c r="N37" i="114"/>
  <c r="O37" i="114" s="1"/>
  <c r="N33" i="114"/>
  <c r="O33" i="114" s="1"/>
  <c r="N22" i="114"/>
  <c r="O22" i="114" s="1"/>
  <c r="N29" i="114"/>
  <c r="O29" i="114" s="1"/>
  <c r="F43" i="114"/>
  <c r="N20" i="114"/>
  <c r="O20" i="114" s="1"/>
  <c r="P45" i="114"/>
  <c r="R45" i="114" s="1"/>
  <c r="N21" i="114"/>
  <c r="O21" i="114" s="1"/>
  <c r="O43" i="114"/>
  <c r="R46" i="114"/>
  <c r="N20" i="113"/>
  <c r="O20" i="113" s="1"/>
  <c r="M23" i="113"/>
  <c r="M25" i="113" s="1"/>
  <c r="P25" i="113" s="1"/>
  <c r="Q25" i="113"/>
  <c r="G22" i="113"/>
  <c r="G23" i="113" s="1"/>
  <c r="H23" i="112"/>
  <c r="I23" i="112" s="1"/>
  <c r="H21" i="112"/>
  <c r="H18" i="112"/>
  <c r="I18" i="112" s="1"/>
  <c r="H17" i="112"/>
  <c r="I17" i="112" s="1"/>
  <c r="D26" i="112"/>
  <c r="H20" i="112"/>
  <c r="I20" i="112" s="1"/>
  <c r="F20" i="112"/>
  <c r="G20" i="112" s="1"/>
  <c r="H19" i="112"/>
  <c r="I19" i="112" s="1"/>
  <c r="F19" i="112"/>
  <c r="G19" i="112" s="1"/>
  <c r="F18" i="112"/>
  <c r="G18" i="112" s="1"/>
  <c r="F17" i="112"/>
  <c r="G17" i="112" s="1"/>
  <c r="H16" i="112"/>
  <c r="I16" i="112" s="1"/>
  <c r="F16" i="112"/>
  <c r="G16" i="112" s="1"/>
  <c r="F23" i="112"/>
  <c r="G23" i="112" s="1"/>
  <c r="H22" i="112"/>
  <c r="I22" i="112" s="1"/>
  <c r="F22" i="112"/>
  <c r="G22" i="112" s="1"/>
  <c r="H24" i="112"/>
  <c r="I24" i="112" s="1"/>
  <c r="F24" i="112"/>
  <c r="G24" i="112" s="1"/>
  <c r="H25" i="112"/>
  <c r="I25" i="112" s="1"/>
  <c r="F25" i="112"/>
  <c r="G25" i="112" s="1"/>
  <c r="R25" i="113" l="1"/>
  <c r="O23" i="113"/>
  <c r="N22" i="113"/>
  <c r="O22" i="113" s="1"/>
  <c r="R26" i="113" s="1"/>
  <c r="I21" i="112"/>
  <c r="I26" i="112" s="1"/>
  <c r="F21" i="112"/>
  <c r="G21" i="112" s="1"/>
  <c r="G26" i="112" s="1"/>
  <c r="F26" i="112" l="1"/>
  <c r="H22" i="111"/>
  <c r="I22" i="111" s="1"/>
  <c r="H21" i="111"/>
  <c r="I21" i="111" s="1"/>
  <c r="H20" i="111"/>
  <c r="I20" i="111" s="1"/>
  <c r="H19" i="111"/>
  <c r="I19" i="111" s="1"/>
  <c r="H18" i="111"/>
  <c r="I18" i="111" s="1"/>
  <c r="H17" i="111"/>
  <c r="I17" i="111" s="1"/>
  <c r="F18" i="111"/>
  <c r="G18" i="111" s="1"/>
  <c r="F17" i="111"/>
  <c r="G17" i="111" s="1"/>
  <c r="F20" i="111"/>
  <c r="G20" i="111" s="1"/>
  <c r="F19" i="111"/>
  <c r="G19" i="111" s="1"/>
  <c r="D24" i="111"/>
  <c r="H23" i="111"/>
  <c r="I23" i="111" s="1"/>
  <c r="F23" i="111"/>
  <c r="G23" i="111" s="1"/>
  <c r="F22" i="111"/>
  <c r="G22" i="111" s="1"/>
  <c r="F21" i="111"/>
  <c r="G21" i="111" s="1"/>
  <c r="H16" i="111"/>
  <c r="I16" i="111" s="1"/>
  <c r="F16" i="111"/>
  <c r="G16" i="111" s="1"/>
  <c r="G24" i="111" l="1"/>
  <c r="I24" i="111"/>
  <c r="F24" i="111"/>
  <c r="D17" i="110"/>
  <c r="M16" i="110"/>
  <c r="H16" i="110"/>
  <c r="I16" i="110" s="1"/>
  <c r="Q19" i="110" s="1"/>
  <c r="F16" i="110"/>
  <c r="G16" i="110" s="1"/>
  <c r="G17" i="110" s="1"/>
  <c r="I17" i="110" l="1"/>
  <c r="M17" i="110"/>
  <c r="M19" i="110" s="1"/>
  <c r="F17" i="110"/>
  <c r="O19" i="110"/>
  <c r="D17" i="109"/>
  <c r="M16" i="109"/>
  <c r="N16" i="109" s="1"/>
  <c r="O16" i="109" s="1"/>
  <c r="H16" i="109"/>
  <c r="I16" i="109" s="1"/>
  <c r="I17" i="109" s="1"/>
  <c r="F16" i="109"/>
  <c r="F17" i="109" s="1"/>
  <c r="P19" i="110" l="1"/>
  <c r="R19" i="110" s="1"/>
  <c r="O17" i="110"/>
  <c r="G16" i="109"/>
  <c r="G17" i="109" s="1"/>
  <c r="N16" i="110"/>
  <c r="O16" i="110" s="1"/>
  <c r="R20" i="110" s="1"/>
  <c r="M17" i="109"/>
  <c r="O19" i="109"/>
  <c r="Q19" i="109" l="1"/>
  <c r="M19" i="109"/>
  <c r="P19" i="109" s="1"/>
  <c r="O17" i="109"/>
  <c r="D17" i="108"/>
  <c r="M16" i="108"/>
  <c r="M17" i="108" s="1"/>
  <c r="M19" i="108" s="1"/>
  <c r="H16" i="108"/>
  <c r="I16" i="108" s="1"/>
  <c r="I17" i="108" s="1"/>
  <c r="F16" i="108"/>
  <c r="O19" i="108" s="1"/>
  <c r="R19" i="109" l="1"/>
  <c r="N16" i="108"/>
  <c r="O16" i="108" s="1"/>
  <c r="P19" i="108"/>
  <c r="R20" i="109"/>
  <c r="F17" i="108"/>
  <c r="O17" i="108"/>
  <c r="Q19" i="108"/>
  <c r="G16" i="108"/>
  <c r="D17" i="107"/>
  <c r="M16" i="107"/>
  <c r="M17" i="107" s="1"/>
  <c r="M19" i="107" s="1"/>
  <c r="H16" i="107"/>
  <c r="I16" i="107" s="1"/>
  <c r="I17" i="107" s="1"/>
  <c r="F16" i="107"/>
  <c r="O19" i="107" s="1"/>
  <c r="R19" i="108" l="1"/>
  <c r="N16" i="107"/>
  <c r="O16" i="107" s="1"/>
  <c r="P19" i="107"/>
  <c r="R20" i="108"/>
  <c r="G17" i="108"/>
  <c r="F17" i="107"/>
  <c r="O17" i="107"/>
  <c r="Q19" i="107"/>
  <c r="G16" i="107"/>
  <c r="D17" i="106"/>
  <c r="H16" i="106"/>
  <c r="I16" i="106" s="1"/>
  <c r="F16" i="106"/>
  <c r="G16" i="106" s="1"/>
  <c r="R19" i="107" l="1"/>
  <c r="R20" i="107"/>
  <c r="G17" i="107"/>
  <c r="I17" i="106"/>
  <c r="G17" i="106"/>
  <c r="F17" i="106"/>
  <c r="H20" i="105"/>
  <c r="I20" i="105" s="1"/>
  <c r="D24" i="105"/>
  <c r="F20" i="105"/>
  <c r="G20" i="105" s="1"/>
  <c r="H19" i="105"/>
  <c r="I19" i="105" s="1"/>
  <c r="F19" i="105"/>
  <c r="G19" i="105" s="1"/>
  <c r="H18" i="105"/>
  <c r="I18" i="105" s="1"/>
  <c r="F18" i="105"/>
  <c r="G18" i="105" s="1"/>
  <c r="H17" i="105"/>
  <c r="I17" i="105" s="1"/>
  <c r="F17" i="105"/>
  <c r="G17" i="105" s="1"/>
  <c r="H22" i="105"/>
  <c r="I22" i="105" s="1"/>
  <c r="F22" i="105"/>
  <c r="G22" i="105" s="1"/>
  <c r="H21" i="105"/>
  <c r="I21" i="105" s="1"/>
  <c r="F21" i="105"/>
  <c r="G21" i="105" s="1"/>
  <c r="H23" i="105"/>
  <c r="I23" i="105" s="1"/>
  <c r="F23" i="105"/>
  <c r="G23" i="105" s="1"/>
  <c r="H16" i="105"/>
  <c r="I16" i="105" s="1"/>
  <c r="F16" i="105"/>
  <c r="F24" i="105" l="1"/>
  <c r="G16" i="105"/>
  <c r="G24" i="105" s="1"/>
  <c r="I24" i="105"/>
  <c r="D32" i="103"/>
  <c r="A17" i="103"/>
  <c r="A18" i="103" s="1"/>
  <c r="A19" i="103" s="1"/>
  <c r="A20" i="103" s="1"/>
  <c r="A21" i="103" s="1"/>
  <c r="A22" i="103" s="1"/>
  <c r="A23" i="103" s="1"/>
  <c r="A24" i="103" s="1"/>
  <c r="A25" i="103" s="1"/>
  <c r="A26" i="103" s="1"/>
  <c r="A27" i="103" s="1"/>
  <c r="A28" i="103" s="1"/>
  <c r="A29" i="103" s="1"/>
  <c r="A30" i="103" s="1"/>
  <c r="A31" i="103" s="1"/>
  <c r="H16" i="104"/>
  <c r="I16" i="104" s="1"/>
  <c r="D42" i="104"/>
  <c r="E41" i="104"/>
  <c r="H41" i="104" s="1"/>
  <c r="I41" i="104" s="1"/>
  <c r="E40" i="104"/>
  <c r="H40" i="104" s="1"/>
  <c r="I40" i="104" s="1"/>
  <c r="E39" i="104"/>
  <c r="H39" i="104" s="1"/>
  <c r="I39" i="104" s="1"/>
  <c r="E38" i="104"/>
  <c r="H38" i="104" s="1"/>
  <c r="I38" i="104" s="1"/>
  <c r="E37" i="104"/>
  <c r="F37" i="104" s="1"/>
  <c r="G37" i="104" s="1"/>
  <c r="E36" i="104"/>
  <c r="F36" i="104" s="1"/>
  <c r="G36" i="104" s="1"/>
  <c r="F39" i="104"/>
  <c r="G39" i="104" s="1"/>
  <c r="E35" i="104"/>
  <c r="H35" i="104" s="1"/>
  <c r="I35" i="104" s="1"/>
  <c r="E34" i="104"/>
  <c r="F34" i="104" s="1"/>
  <c r="G34" i="104" s="1"/>
  <c r="E33" i="104"/>
  <c r="F33" i="104" s="1"/>
  <c r="G33" i="104" s="1"/>
  <c r="E32" i="104"/>
  <c r="F32" i="104" s="1"/>
  <c r="G32" i="104" s="1"/>
  <c r="E31" i="104"/>
  <c r="F31" i="104" s="1"/>
  <c r="G31" i="104" s="1"/>
  <c r="E30" i="104"/>
  <c r="H30" i="104" s="1"/>
  <c r="I30" i="104" s="1"/>
  <c r="E29" i="104"/>
  <c r="F29" i="104" s="1"/>
  <c r="G29" i="104" s="1"/>
  <c r="H28" i="104"/>
  <c r="I28" i="104" s="1"/>
  <c r="E27" i="104"/>
  <c r="H27" i="104" s="1"/>
  <c r="I27" i="104" s="1"/>
  <c r="E26" i="104"/>
  <c r="H26" i="104" s="1"/>
  <c r="I26" i="104" s="1"/>
  <c r="H25" i="104"/>
  <c r="I25" i="104" s="1"/>
  <c r="E24" i="104"/>
  <c r="H24" i="104" s="1"/>
  <c r="I24" i="104" s="1"/>
  <c r="E23" i="104"/>
  <c r="H23" i="104" s="1"/>
  <c r="I23" i="104" s="1"/>
  <c r="H22" i="104"/>
  <c r="I22" i="104" s="1"/>
  <c r="H21" i="104"/>
  <c r="I21" i="104" s="1"/>
  <c r="E20" i="104"/>
  <c r="H20" i="104" s="1"/>
  <c r="I20" i="104" s="1"/>
  <c r="E19" i="104"/>
  <c r="F19" i="104" s="1"/>
  <c r="G19" i="104" s="1"/>
  <c r="H18" i="104"/>
  <c r="I18" i="104" s="1"/>
  <c r="E17" i="104"/>
  <c r="H17" i="104" s="1"/>
  <c r="I17" i="104" s="1"/>
  <c r="A17" i="104"/>
  <c r="A18" i="104" s="1"/>
  <c r="A19" i="104" s="1"/>
  <c r="A20" i="104" s="1"/>
  <c r="A21" i="104" s="1"/>
  <c r="A22" i="104" s="1"/>
  <c r="A23" i="104" s="1"/>
  <c r="A24" i="104" s="1"/>
  <c r="A25" i="104" s="1"/>
  <c r="A26" i="104" s="1"/>
  <c r="A27" i="104" s="1"/>
  <c r="A28" i="104" s="1"/>
  <c r="A29" i="104" s="1"/>
  <c r="A30" i="104" s="1"/>
  <c r="A31" i="104" s="1"/>
  <c r="A32" i="104" s="1"/>
  <c r="A33" i="104" s="1"/>
  <c r="A34" i="104" s="1"/>
  <c r="A35" i="104" s="1"/>
  <c r="A36" i="104" s="1"/>
  <c r="A37" i="104" s="1"/>
  <c r="A38" i="104" s="1"/>
  <c r="A39" i="104" s="1"/>
  <c r="A40" i="104" s="1"/>
  <c r="A41" i="104" s="1"/>
  <c r="H31" i="104"/>
  <c r="I31" i="104" s="1"/>
  <c r="F25" i="104"/>
  <c r="G25" i="104" s="1"/>
  <c r="F22" i="104"/>
  <c r="G22" i="104" s="1"/>
  <c r="F21" i="104"/>
  <c r="G21" i="104" s="1"/>
  <c r="F18" i="104"/>
  <c r="G18" i="104" s="1"/>
  <c r="E31" i="103"/>
  <c r="H31" i="103" s="1"/>
  <c r="I31" i="103" s="1"/>
  <c r="E30" i="103"/>
  <c r="F30" i="103" s="1"/>
  <c r="G30" i="103" s="1"/>
  <c r="E29" i="103"/>
  <c r="H29" i="103" s="1"/>
  <c r="I29" i="103" s="1"/>
  <c r="E28" i="103"/>
  <c r="H28" i="103" s="1"/>
  <c r="I28" i="103" s="1"/>
  <c r="E27" i="103"/>
  <c r="H27" i="103" s="1"/>
  <c r="I27" i="103" s="1"/>
  <c r="E26" i="103"/>
  <c r="H26" i="103" s="1"/>
  <c r="I26" i="103" s="1"/>
  <c r="E25" i="103"/>
  <c r="H25" i="103" s="1"/>
  <c r="I25" i="103" s="1"/>
  <c r="E24" i="103"/>
  <c r="H24" i="103" s="1"/>
  <c r="I24" i="103" s="1"/>
  <c r="E23" i="103"/>
  <c r="F23" i="103" s="1"/>
  <c r="G23" i="103" s="1"/>
  <c r="E22" i="103"/>
  <c r="H22" i="103" s="1"/>
  <c r="I22" i="103" s="1"/>
  <c r="E21" i="103"/>
  <c r="H21" i="103" s="1"/>
  <c r="I21" i="103" s="1"/>
  <c r="E20" i="103"/>
  <c r="H20" i="103" s="1"/>
  <c r="I20" i="103" s="1"/>
  <c r="E19" i="103"/>
  <c r="H19" i="103" s="1"/>
  <c r="I19" i="103" s="1"/>
  <c r="E18" i="103"/>
  <c r="H18" i="103" s="1"/>
  <c r="I18" i="103" s="1"/>
  <c r="E17" i="103"/>
  <c r="H17" i="103" s="1"/>
  <c r="I17" i="103" s="1"/>
  <c r="E16" i="103"/>
  <c r="H16" i="103" s="1"/>
  <c r="I16" i="103" s="1"/>
  <c r="F35" i="104" l="1"/>
  <c r="G35" i="104" s="1"/>
  <c r="H29" i="104"/>
  <c r="I29" i="104" s="1"/>
  <c r="F30" i="104"/>
  <c r="G30" i="104" s="1"/>
  <c r="F23" i="104"/>
  <c r="G23" i="104" s="1"/>
  <c r="H19" i="104"/>
  <c r="I19" i="104" s="1"/>
  <c r="F27" i="104"/>
  <c r="G27" i="104" s="1"/>
  <c r="F29" i="103"/>
  <c r="G29" i="103" s="1"/>
  <c r="H30" i="103"/>
  <c r="I30" i="103" s="1"/>
  <c r="F16" i="103"/>
  <c r="F18" i="103"/>
  <c r="G18" i="103" s="1"/>
  <c r="F26" i="103"/>
  <c r="G26" i="103" s="1"/>
  <c r="H34" i="104"/>
  <c r="I34" i="104" s="1"/>
  <c r="F17" i="103"/>
  <c r="G17" i="103" s="1"/>
  <c r="F22" i="103"/>
  <c r="G22" i="103" s="1"/>
  <c r="F25" i="103"/>
  <c r="G25" i="103" s="1"/>
  <c r="F26" i="104"/>
  <c r="G26" i="104" s="1"/>
  <c r="H36" i="104"/>
  <c r="I36" i="104" s="1"/>
  <c r="H23" i="103"/>
  <c r="I23" i="103" s="1"/>
  <c r="F19" i="103"/>
  <c r="G19" i="103" s="1"/>
  <c r="F40" i="104"/>
  <c r="G40" i="104" s="1"/>
  <c r="H37" i="104"/>
  <c r="I37" i="104" s="1"/>
  <c r="F31" i="103"/>
  <c r="G31" i="103" s="1"/>
  <c r="F27" i="103"/>
  <c r="G27" i="103" s="1"/>
  <c r="F17" i="104"/>
  <c r="G17" i="104" s="1"/>
  <c r="H32" i="104"/>
  <c r="I32" i="104" s="1"/>
  <c r="F41" i="104"/>
  <c r="G41" i="104" s="1"/>
  <c r="F38" i="104"/>
  <c r="G38" i="104" s="1"/>
  <c r="F21" i="103"/>
  <c r="G21" i="103" s="1"/>
  <c r="H33" i="104"/>
  <c r="I33" i="104" s="1"/>
  <c r="F28" i="104"/>
  <c r="F16" i="104"/>
  <c r="F20" i="104"/>
  <c r="G20" i="104" s="1"/>
  <c r="F24" i="104"/>
  <c r="G24" i="104" s="1"/>
  <c r="F28" i="103"/>
  <c r="G28" i="103" s="1"/>
  <c r="F20" i="103"/>
  <c r="F24" i="103"/>
  <c r="G24" i="103" s="1"/>
  <c r="G16" i="103"/>
  <c r="D18" i="102"/>
  <c r="F16" i="102"/>
  <c r="I42" i="104" l="1"/>
  <c r="I32" i="103"/>
  <c r="G20" i="103"/>
  <c r="G32" i="103" s="1"/>
  <c r="F32" i="103"/>
  <c r="F42" i="104"/>
  <c r="G16" i="104"/>
  <c r="G42" i="104" s="1"/>
  <c r="G16" i="102"/>
  <c r="H16" i="102"/>
  <c r="I16" i="102" s="1"/>
  <c r="M17" i="101"/>
  <c r="H17" i="101"/>
  <c r="I17" i="101" s="1"/>
  <c r="F17" i="101"/>
  <c r="G17" i="101" s="1"/>
  <c r="M18" i="101"/>
  <c r="H18" i="101"/>
  <c r="I18" i="101" s="1"/>
  <c r="F18" i="101"/>
  <c r="G18" i="101" s="1"/>
  <c r="M16" i="101"/>
  <c r="H16" i="101"/>
  <c r="I16" i="101" s="1"/>
  <c r="F16" i="101"/>
  <c r="G16" i="101" s="1"/>
  <c r="M19" i="101"/>
  <c r="H19" i="101"/>
  <c r="I19" i="101" s="1"/>
  <c r="F19" i="101"/>
  <c r="O22" i="101" s="1"/>
  <c r="N18" i="101" l="1"/>
  <c r="O18" i="101" s="1"/>
  <c r="I20" i="101"/>
  <c r="N17" i="101"/>
  <c r="O17" i="101" s="1"/>
  <c r="N16" i="101"/>
  <c r="O16" i="101" s="1"/>
  <c r="F20" i="101"/>
  <c r="M20" i="101"/>
  <c r="M22" i="101" s="1"/>
  <c r="P22" i="101" s="1"/>
  <c r="I18" i="102"/>
  <c r="G18" i="102"/>
  <c r="F18" i="102"/>
  <c r="Q22" i="101"/>
  <c r="G19" i="101"/>
  <c r="G20" i="101" s="1"/>
  <c r="D17" i="100"/>
  <c r="M16" i="100"/>
  <c r="H16" i="100"/>
  <c r="I16" i="100" s="1"/>
  <c r="I17" i="100" s="1"/>
  <c r="F16" i="100"/>
  <c r="O19" i="100" s="1"/>
  <c r="N19" i="101" l="1"/>
  <c r="O19" i="101" s="1"/>
  <c r="O20" i="101"/>
  <c r="M17" i="100"/>
  <c r="M19" i="100" s="1"/>
  <c r="P19" i="100" s="1"/>
  <c r="R22" i="101"/>
  <c r="R23" i="101"/>
  <c r="F17" i="100"/>
  <c r="Q19" i="100"/>
  <c r="G16" i="100"/>
  <c r="H16" i="99"/>
  <c r="I16" i="99" s="1"/>
  <c r="H18" i="99"/>
  <c r="I18" i="99" s="1"/>
  <c r="H17" i="99"/>
  <c r="I17" i="99" s="1"/>
  <c r="D20" i="99"/>
  <c r="H19" i="99"/>
  <c r="I19" i="99" s="1"/>
  <c r="F19" i="99"/>
  <c r="G19" i="99" s="1"/>
  <c r="F18" i="99"/>
  <c r="G18" i="99" s="1"/>
  <c r="F17" i="99"/>
  <c r="G17" i="99" s="1"/>
  <c r="A17" i="99"/>
  <c r="A18" i="99" s="1"/>
  <c r="F16" i="99"/>
  <c r="G16" i="99" s="1"/>
  <c r="D17" i="98"/>
  <c r="H16" i="98"/>
  <c r="I16" i="98" s="1"/>
  <c r="I17" i="98" s="1"/>
  <c r="F16" i="98"/>
  <c r="F17" i="98" s="1"/>
  <c r="R19" i="100" l="1"/>
  <c r="O17" i="100"/>
  <c r="N16" i="100"/>
  <c r="O16" i="100" s="1"/>
  <c r="R20" i="100" s="1"/>
  <c r="G17" i="100"/>
  <c r="F20" i="99"/>
  <c r="I20" i="99"/>
  <c r="G20" i="99"/>
  <c r="G16" i="98"/>
  <c r="G17" i="98" s="1"/>
  <c r="D17" i="97"/>
  <c r="H16" i="97"/>
  <c r="I16" i="97" s="1"/>
  <c r="I17" i="97" s="1"/>
  <c r="F16" i="97"/>
  <c r="F17" i="97" s="1"/>
  <c r="G16" i="97" l="1"/>
  <c r="G17" i="97" s="1"/>
  <c r="D17" i="96"/>
  <c r="H16" i="96"/>
  <c r="I16" i="96" s="1"/>
  <c r="I17" i="96" s="1"/>
  <c r="F16" i="96"/>
  <c r="G16" i="96" s="1"/>
  <c r="G17" i="96" s="1"/>
  <c r="F17" i="96" l="1"/>
  <c r="D17" i="95"/>
  <c r="H16" i="95"/>
  <c r="I16" i="95" s="1"/>
  <c r="I17" i="95" s="1"/>
  <c r="F16" i="95"/>
  <c r="F17" i="95" s="1"/>
  <c r="G16" i="95" l="1"/>
  <c r="G17" i="95" s="1"/>
  <c r="H28" i="94"/>
  <c r="H25" i="94"/>
  <c r="H22" i="94"/>
  <c r="H21" i="94"/>
  <c r="H20" i="94"/>
  <c r="H16" i="94"/>
  <c r="D30" i="94"/>
  <c r="A17" i="94" l="1"/>
  <c r="A18" i="94" s="1"/>
  <c r="A19" i="94" s="1"/>
  <c r="A20" i="94" s="1"/>
  <c r="A21" i="94" s="1"/>
  <c r="A22" i="94" s="1"/>
  <c r="A23" i="94" s="1"/>
  <c r="A24" i="94" s="1"/>
  <c r="A25" i="94" s="1"/>
  <c r="A26" i="94" s="1"/>
  <c r="A27" i="94" s="1"/>
  <c r="A28" i="94" s="1"/>
  <c r="I20" i="94"/>
  <c r="F20" i="94"/>
  <c r="G20" i="94" s="1"/>
  <c r="H19" i="94"/>
  <c r="I19" i="94" s="1"/>
  <c r="F19" i="94"/>
  <c r="G19" i="94" s="1"/>
  <c r="H18" i="94"/>
  <c r="I18" i="94" s="1"/>
  <c r="F18" i="94"/>
  <c r="G18" i="94" s="1"/>
  <c r="H17" i="94"/>
  <c r="I17" i="94" s="1"/>
  <c r="F17" i="94"/>
  <c r="G17" i="94" s="1"/>
  <c r="H24" i="94"/>
  <c r="I24" i="94" s="1"/>
  <c r="F24" i="94"/>
  <c r="G24" i="94" s="1"/>
  <c r="H23" i="94"/>
  <c r="I23" i="94" s="1"/>
  <c r="F23" i="94"/>
  <c r="G23" i="94" s="1"/>
  <c r="I22" i="94"/>
  <c r="F22" i="94"/>
  <c r="G22" i="94" s="1"/>
  <c r="I21" i="94"/>
  <c r="F21" i="94"/>
  <c r="G21" i="94" s="1"/>
  <c r="H26" i="94"/>
  <c r="I26" i="94" s="1"/>
  <c r="F26" i="94"/>
  <c r="G26" i="94" s="1"/>
  <c r="I25" i="94"/>
  <c r="F25" i="94"/>
  <c r="G25" i="94" s="1"/>
  <c r="H27" i="94"/>
  <c r="I27" i="94" s="1"/>
  <c r="F27" i="94"/>
  <c r="G27" i="94" s="1"/>
  <c r="I28" i="94"/>
  <c r="F28" i="94"/>
  <c r="G28" i="94" s="1"/>
  <c r="H29" i="94"/>
  <c r="I29" i="94" s="1"/>
  <c r="F29" i="94"/>
  <c r="G29" i="94" s="1"/>
  <c r="I16" i="94"/>
  <c r="F16" i="94"/>
  <c r="G16" i="94" l="1"/>
  <c r="G30" i="94" s="1"/>
  <c r="F30" i="94"/>
  <c r="I30" i="94"/>
  <c r="D17" i="93"/>
  <c r="H16" i="93"/>
  <c r="I16" i="93" s="1"/>
  <c r="I17" i="93" s="1"/>
  <c r="F16" i="93"/>
  <c r="F17" i="93" s="1"/>
  <c r="G16" i="93" l="1"/>
  <c r="G17" i="93" s="1"/>
  <c r="D17" i="92"/>
  <c r="H16" i="92"/>
  <c r="I16" i="92" s="1"/>
  <c r="I17" i="92" s="1"/>
  <c r="F16" i="92"/>
  <c r="F17" i="92" s="1"/>
  <c r="G16" i="92" l="1"/>
  <c r="G17" i="92" s="1"/>
  <c r="D18" i="91"/>
  <c r="H17" i="91"/>
  <c r="I17" i="91" s="1"/>
  <c r="F17" i="91"/>
  <c r="G17" i="91" s="1"/>
  <c r="H16" i="91"/>
  <c r="I16" i="91" s="1"/>
  <c r="F16" i="91"/>
  <c r="G16" i="91" s="1"/>
  <c r="I18" i="91" l="1"/>
  <c r="F18" i="91"/>
  <c r="G18" i="91"/>
  <c r="H16" i="90"/>
  <c r="I16" i="90" s="1"/>
  <c r="Q19" i="90" s="1"/>
  <c r="F16" i="90"/>
  <c r="O19" i="90" s="1"/>
  <c r="M16" i="90"/>
  <c r="M17" i="90" l="1"/>
  <c r="G16" i="90"/>
  <c r="O17" i="90" l="1"/>
  <c r="M19" i="90"/>
  <c r="P19" i="90" s="1"/>
  <c r="R19" i="90" s="1"/>
  <c r="N16" i="90"/>
  <c r="O16" i="90" s="1"/>
  <c r="R20" i="90" s="1"/>
  <c r="D17" i="90"/>
  <c r="I17" i="90"/>
  <c r="F17" i="90"/>
  <c r="G17" i="90" l="1"/>
  <c r="D17" i="89"/>
  <c r="H16" i="89"/>
  <c r="I16" i="89" s="1"/>
  <c r="I17" i="89" s="1"/>
  <c r="F16" i="89"/>
  <c r="F17" i="89" s="1"/>
  <c r="G16" i="89" l="1"/>
  <c r="G17" i="89" s="1"/>
  <c r="H25" i="88"/>
  <c r="I25" i="88" s="1"/>
  <c r="H23" i="88"/>
  <c r="I23" i="88" s="1"/>
  <c r="A17" i="88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H17" i="88"/>
  <c r="I17" i="88" s="1"/>
  <c r="F17" i="88"/>
  <c r="G17" i="88" s="1"/>
  <c r="H21" i="88"/>
  <c r="I21" i="88" s="1"/>
  <c r="F21" i="88"/>
  <c r="G21" i="88" s="1"/>
  <c r="H20" i="88"/>
  <c r="I20" i="88" s="1"/>
  <c r="F20" i="88"/>
  <c r="G20" i="88" s="1"/>
  <c r="H19" i="88"/>
  <c r="I19" i="88" s="1"/>
  <c r="F19" i="88"/>
  <c r="G19" i="88" s="1"/>
  <c r="H18" i="88"/>
  <c r="I18" i="88" s="1"/>
  <c r="F18" i="88"/>
  <c r="G18" i="88" s="1"/>
  <c r="F25" i="88"/>
  <c r="G25" i="88" s="1"/>
  <c r="H24" i="88"/>
  <c r="I24" i="88" s="1"/>
  <c r="F24" i="88"/>
  <c r="G24" i="88" s="1"/>
  <c r="F23" i="88"/>
  <c r="G23" i="88" s="1"/>
  <c r="H22" i="88"/>
  <c r="I22" i="88" s="1"/>
  <c r="F22" i="88"/>
  <c r="G22" i="88" s="1"/>
  <c r="H27" i="88"/>
  <c r="I27" i="88" s="1"/>
  <c r="F27" i="88"/>
  <c r="G27" i="88" s="1"/>
  <c r="H26" i="88"/>
  <c r="I26" i="88" s="1"/>
  <c r="F26" i="88"/>
  <c r="G26" i="88" s="1"/>
  <c r="H28" i="88"/>
  <c r="I28" i="88" s="1"/>
  <c r="F28" i="88"/>
  <c r="G28" i="88" s="1"/>
  <c r="D29" i="88"/>
  <c r="H16" i="88"/>
  <c r="I16" i="88" s="1"/>
  <c r="F16" i="88"/>
  <c r="F29" i="88" l="1"/>
  <c r="I29" i="88"/>
  <c r="L30" i="88" s="1"/>
  <c r="G16" i="88"/>
  <c r="G29" i="88" s="1"/>
  <c r="D18" i="87"/>
  <c r="H16" i="87"/>
  <c r="I16" i="87" s="1"/>
  <c r="I18" i="87" s="1"/>
  <c r="F16" i="87"/>
  <c r="F18" i="87" s="1"/>
  <c r="G16" i="87" l="1"/>
  <c r="G18" i="87" s="1"/>
  <c r="D17" i="85"/>
  <c r="H16" i="85"/>
  <c r="I16" i="85" s="1"/>
  <c r="I17" i="85" s="1"/>
  <c r="F16" i="85"/>
  <c r="F17" i="85" s="1"/>
  <c r="D17" i="84"/>
  <c r="F16" i="84"/>
  <c r="F17" i="84" s="1"/>
  <c r="E17" i="83"/>
  <c r="H17" i="83" s="1"/>
  <c r="I17" i="83" s="1"/>
  <c r="E16" i="83"/>
  <c r="H16" i="83" s="1"/>
  <c r="I16" i="83" s="1"/>
  <c r="D38" i="83"/>
  <c r="E37" i="83"/>
  <c r="E36" i="83"/>
  <c r="F36" i="83" s="1"/>
  <c r="G36" i="83" s="1"/>
  <c r="E35" i="83"/>
  <c r="E34" i="83"/>
  <c r="F34" i="83" s="1"/>
  <c r="G34" i="83" s="1"/>
  <c r="E33" i="83"/>
  <c r="F33" i="83" s="1"/>
  <c r="G33" i="83" s="1"/>
  <c r="E32" i="83"/>
  <c r="E31" i="83"/>
  <c r="E30" i="83"/>
  <c r="F30" i="83" s="1"/>
  <c r="G30" i="83" s="1"/>
  <c r="E29" i="83"/>
  <c r="F29" i="83" s="1"/>
  <c r="G29" i="83" s="1"/>
  <c r="E28" i="83"/>
  <c r="E27" i="83"/>
  <c r="H27" i="83" s="1"/>
  <c r="I27" i="83" s="1"/>
  <c r="E26" i="83"/>
  <c r="F26" i="83" s="1"/>
  <c r="G26" i="83" s="1"/>
  <c r="E25" i="83"/>
  <c r="F25" i="83" s="1"/>
  <c r="G25" i="83" s="1"/>
  <c r="E24" i="83"/>
  <c r="H24" i="83" s="1"/>
  <c r="I24" i="83" s="1"/>
  <c r="E23" i="83"/>
  <c r="F23" i="83" s="1"/>
  <c r="G23" i="83" s="1"/>
  <c r="E22" i="83"/>
  <c r="H22" i="83" s="1"/>
  <c r="I22" i="83" s="1"/>
  <c r="E21" i="83"/>
  <c r="H21" i="83" s="1"/>
  <c r="I21" i="83" s="1"/>
  <c r="E20" i="83"/>
  <c r="F20" i="83" s="1"/>
  <c r="G20" i="83" s="1"/>
  <c r="E19" i="83"/>
  <c r="F19" i="83" s="1"/>
  <c r="G19" i="83" s="1"/>
  <c r="E18" i="83"/>
  <c r="H29" i="83"/>
  <c r="I29" i="83" s="1"/>
  <c r="H16" i="84"/>
  <c r="I16" i="84" s="1"/>
  <c r="I17" i="84" s="1"/>
  <c r="H23" i="83"/>
  <c r="I23" i="83" s="1"/>
  <c r="D18" i="82"/>
  <c r="H16" i="82"/>
  <c r="I16" i="82" s="1"/>
  <c r="I18" i="82" s="1"/>
  <c r="F16" i="82"/>
  <c r="H19" i="81"/>
  <c r="I19" i="81" s="1"/>
  <c r="F19" i="81"/>
  <c r="G19" i="81" s="1"/>
  <c r="H18" i="81"/>
  <c r="I18" i="81" s="1"/>
  <c r="F18" i="81"/>
  <c r="G18" i="81" s="1"/>
  <c r="D23" i="81"/>
  <c r="H22" i="81"/>
  <c r="I22" i="81" s="1"/>
  <c r="F22" i="81"/>
  <c r="G22" i="81" s="1"/>
  <c r="H21" i="81"/>
  <c r="I21" i="81" s="1"/>
  <c r="F21" i="81"/>
  <c r="G21" i="81" s="1"/>
  <c r="H20" i="81"/>
  <c r="I20" i="81" s="1"/>
  <c r="F20" i="81"/>
  <c r="G20" i="81" s="1"/>
  <c r="H17" i="81"/>
  <c r="I17" i="81" s="1"/>
  <c r="F17" i="81"/>
  <c r="G17" i="81" s="1"/>
  <c r="H16" i="81"/>
  <c r="I16" i="81" s="1"/>
  <c r="F16" i="81"/>
  <c r="D29" i="80"/>
  <c r="H27" i="80"/>
  <c r="I27" i="80" s="1"/>
  <c r="F27" i="80"/>
  <c r="G27" i="80" s="1"/>
  <c r="H26" i="80"/>
  <c r="I26" i="80" s="1"/>
  <c r="F26" i="80"/>
  <c r="G26" i="80" s="1"/>
  <c r="H25" i="80"/>
  <c r="I25" i="80" s="1"/>
  <c r="H24" i="80"/>
  <c r="I24" i="80" s="1"/>
  <c r="F24" i="80"/>
  <c r="G24" i="80" s="1"/>
  <c r="F25" i="80"/>
  <c r="G25" i="80" s="1"/>
  <c r="H23" i="80"/>
  <c r="I23" i="80" s="1"/>
  <c r="H20" i="80"/>
  <c r="I20" i="80" s="1"/>
  <c r="F23" i="80"/>
  <c r="G23" i="80" s="1"/>
  <c r="H22" i="80"/>
  <c r="I22" i="80" s="1"/>
  <c r="F22" i="80"/>
  <c r="G22" i="80" s="1"/>
  <c r="H21" i="80"/>
  <c r="I21" i="80" s="1"/>
  <c r="F21" i="80"/>
  <c r="G21" i="80" s="1"/>
  <c r="F20" i="80"/>
  <c r="G20" i="80" s="1"/>
  <c r="H19" i="80"/>
  <c r="I19" i="80" s="1"/>
  <c r="F19" i="80"/>
  <c r="G19" i="80" s="1"/>
  <c r="H18" i="80"/>
  <c r="I18" i="80" s="1"/>
  <c r="F18" i="80"/>
  <c r="G18" i="80" s="1"/>
  <c r="H17" i="80"/>
  <c r="I17" i="80" s="1"/>
  <c r="F17" i="80"/>
  <c r="G17" i="80" s="1"/>
  <c r="H16" i="80"/>
  <c r="I16" i="80" s="1"/>
  <c r="F16" i="80"/>
  <c r="D19" i="79"/>
  <c r="H16" i="79"/>
  <c r="I16" i="79" s="1"/>
  <c r="H17" i="79"/>
  <c r="I17" i="79" s="1"/>
  <c r="F16" i="79"/>
  <c r="G16" i="79" s="1"/>
  <c r="F17" i="79"/>
  <c r="G17" i="79" s="1"/>
  <c r="H20" i="78"/>
  <c r="I20" i="78" s="1"/>
  <c r="H25" i="78"/>
  <c r="H24" i="78"/>
  <c r="I24" i="78" s="1"/>
  <c r="H23" i="78"/>
  <c r="I23" i="78" s="1"/>
  <c r="H22" i="78"/>
  <c r="I22" i="78" s="1"/>
  <c r="F22" i="78"/>
  <c r="G22" i="78" s="1"/>
  <c r="H19" i="78"/>
  <c r="I19" i="78" s="1"/>
  <c r="H21" i="78"/>
  <c r="I21" i="78" s="1"/>
  <c r="H18" i="78"/>
  <c r="I18" i="78" s="1"/>
  <c r="F18" i="78"/>
  <c r="G18" i="78" s="1"/>
  <c r="H17" i="78"/>
  <c r="I17" i="78" s="1"/>
  <c r="F23" i="78"/>
  <c r="G23" i="78" s="1"/>
  <c r="D27" i="78"/>
  <c r="I25" i="78"/>
  <c r="F25" i="78"/>
  <c r="G25" i="78" s="1"/>
  <c r="F24" i="78"/>
  <c r="G24" i="78" s="1"/>
  <c r="F21" i="78"/>
  <c r="G21" i="78" s="1"/>
  <c r="F20" i="78"/>
  <c r="G20" i="78" s="1"/>
  <c r="F19" i="78"/>
  <c r="G19" i="78" s="1"/>
  <c r="F17" i="78"/>
  <c r="G17" i="78" s="1"/>
  <c r="H16" i="78"/>
  <c r="I16" i="78" s="1"/>
  <c r="F16" i="78"/>
  <c r="G16" i="78" s="1"/>
  <c r="D19" i="77"/>
  <c r="H17" i="77"/>
  <c r="I17" i="77" s="1"/>
  <c r="H16" i="77"/>
  <c r="I16" i="77" s="1"/>
  <c r="F16" i="77"/>
  <c r="F17" i="77"/>
  <c r="G17" i="77" s="1"/>
  <c r="H16" i="76"/>
  <c r="I16" i="76" s="1"/>
  <c r="I18" i="76" s="1"/>
  <c r="F16" i="76"/>
  <c r="F18" i="76" s="1"/>
  <c r="D18" i="76"/>
  <c r="H16" i="75"/>
  <c r="I16" i="75" s="1"/>
  <c r="I18" i="75" s="1"/>
  <c r="D18" i="75"/>
  <c r="F16" i="75"/>
  <c r="E16" i="74"/>
  <c r="D18" i="74"/>
  <c r="H16" i="73"/>
  <c r="I16" i="73" s="1"/>
  <c r="D35" i="73"/>
  <c r="F21" i="73"/>
  <c r="G21" i="73" s="1"/>
  <c r="H21" i="73"/>
  <c r="I21" i="73" s="1"/>
  <c r="H20" i="73"/>
  <c r="I20" i="73" s="1"/>
  <c r="F20" i="73"/>
  <c r="G20" i="73" s="1"/>
  <c r="H19" i="73"/>
  <c r="I19" i="73" s="1"/>
  <c r="F19" i="73"/>
  <c r="G19" i="73" s="1"/>
  <c r="H18" i="73"/>
  <c r="I18" i="73" s="1"/>
  <c r="F17" i="73"/>
  <c r="G17" i="73" s="1"/>
  <c r="H17" i="73"/>
  <c r="I17" i="73" s="1"/>
  <c r="F16" i="73"/>
  <c r="G16" i="73" s="1"/>
  <c r="F27" i="73"/>
  <c r="G27" i="73" s="1"/>
  <c r="H27" i="73"/>
  <c r="I27" i="73" s="1"/>
  <c r="F26" i="73"/>
  <c r="G26" i="73" s="1"/>
  <c r="H25" i="73"/>
  <c r="I25" i="73" s="1"/>
  <c r="F25" i="73"/>
  <c r="G25" i="73" s="1"/>
  <c r="H24" i="73"/>
  <c r="I24" i="73" s="1"/>
  <c r="H23" i="73"/>
  <c r="I23" i="73" s="1"/>
  <c r="F23" i="73"/>
  <c r="G23" i="73" s="1"/>
  <c r="F22" i="73"/>
  <c r="G22" i="73" s="1"/>
  <c r="H33" i="73"/>
  <c r="I33" i="73" s="1"/>
  <c r="F32" i="73"/>
  <c r="G32" i="73" s="1"/>
  <c r="H32" i="73"/>
  <c r="I32" i="73" s="1"/>
  <c r="H31" i="73"/>
  <c r="I31" i="73" s="1"/>
  <c r="F31" i="73"/>
  <c r="G31" i="73" s="1"/>
  <c r="H30" i="73"/>
  <c r="I30" i="73" s="1"/>
  <c r="F30" i="73"/>
  <c r="G30" i="73" s="1"/>
  <c r="H29" i="73"/>
  <c r="I29" i="73" s="1"/>
  <c r="F28" i="73"/>
  <c r="G28" i="73" s="1"/>
  <c r="H28" i="73"/>
  <c r="I28" i="73" s="1"/>
  <c r="F18" i="73"/>
  <c r="G18" i="73" s="1"/>
  <c r="H22" i="73"/>
  <c r="I22" i="73" s="1"/>
  <c r="F24" i="73"/>
  <c r="G24" i="73" s="1"/>
  <c r="H26" i="73"/>
  <c r="I26" i="73" s="1"/>
  <c r="F33" i="73"/>
  <c r="G33" i="73" s="1"/>
  <c r="F29" i="73"/>
  <c r="G29" i="73" s="1"/>
  <c r="E21" i="72"/>
  <c r="F21" i="72" s="1"/>
  <c r="G21" i="72" s="1"/>
  <c r="E19" i="72"/>
  <c r="F19" i="72" s="1"/>
  <c r="G19" i="72" s="1"/>
  <c r="E18" i="72"/>
  <c r="E17" i="72"/>
  <c r="F17" i="72" s="1"/>
  <c r="G17" i="72" s="1"/>
  <c r="E16" i="72"/>
  <c r="H16" i="72" s="1"/>
  <c r="I16" i="72" s="1"/>
  <c r="D23" i="72"/>
  <c r="E20" i="72"/>
  <c r="F20" i="72" s="1"/>
  <c r="G20" i="72" s="1"/>
  <c r="F29" i="71"/>
  <c r="G29" i="71" s="1"/>
  <c r="F28" i="71"/>
  <c r="G28" i="71" s="1"/>
  <c r="H29" i="71"/>
  <c r="I29" i="71" s="1"/>
  <c r="H28" i="71"/>
  <c r="I28" i="71" s="1"/>
  <c r="H21" i="71"/>
  <c r="I21" i="71" s="1"/>
  <c r="F21" i="71"/>
  <c r="G21" i="71" s="1"/>
  <c r="H20" i="71"/>
  <c r="I20" i="71" s="1"/>
  <c r="F20" i="71"/>
  <c r="G20" i="71" s="1"/>
  <c r="H24" i="71"/>
  <c r="I24" i="71" s="1"/>
  <c r="F24" i="71"/>
  <c r="G24" i="71" s="1"/>
  <c r="H23" i="71"/>
  <c r="I23" i="71" s="1"/>
  <c r="F23" i="71"/>
  <c r="G23" i="71" s="1"/>
  <c r="H22" i="71"/>
  <c r="I22" i="71" s="1"/>
  <c r="F22" i="71"/>
  <c r="G22" i="71" s="1"/>
  <c r="H19" i="71"/>
  <c r="I19" i="71" s="1"/>
  <c r="F19" i="71"/>
  <c r="G19" i="71" s="1"/>
  <c r="H26" i="71"/>
  <c r="I26" i="71" s="1"/>
  <c r="F26" i="71"/>
  <c r="G26" i="71" s="1"/>
  <c r="H25" i="71"/>
  <c r="I25" i="71" s="1"/>
  <c r="F25" i="71"/>
  <c r="G25" i="71" s="1"/>
  <c r="H18" i="71"/>
  <c r="I18" i="71" s="1"/>
  <c r="F18" i="71"/>
  <c r="G18" i="71" s="1"/>
  <c r="D30" i="71"/>
  <c r="H27" i="71"/>
  <c r="I27" i="71" s="1"/>
  <c r="F27" i="71"/>
  <c r="G27" i="71" s="1"/>
  <c r="H17" i="71"/>
  <c r="I17" i="71" s="1"/>
  <c r="F17" i="71"/>
  <c r="G17" i="71" s="1"/>
  <c r="D21" i="70"/>
  <c r="H19" i="70"/>
  <c r="I19" i="70" s="1"/>
  <c r="F19" i="70"/>
  <c r="G19" i="70" s="1"/>
  <c r="H18" i="70"/>
  <c r="I18" i="70" s="1"/>
  <c r="F18" i="70"/>
  <c r="G18" i="70" s="1"/>
  <c r="H17" i="70"/>
  <c r="I17" i="70" s="1"/>
  <c r="F17" i="70"/>
  <c r="G17" i="70" s="1"/>
  <c r="H16" i="70"/>
  <c r="I16" i="70" s="1"/>
  <c r="F16" i="70"/>
  <c r="D21" i="69"/>
  <c r="H16" i="69"/>
  <c r="I16" i="69" s="1"/>
  <c r="H17" i="69"/>
  <c r="I17" i="69" s="1"/>
  <c r="F17" i="69"/>
  <c r="G17" i="69" s="1"/>
  <c r="H18" i="69"/>
  <c r="I18" i="69" s="1"/>
  <c r="F18" i="69"/>
  <c r="G18" i="69" s="1"/>
  <c r="H19" i="69"/>
  <c r="I19" i="69" s="1"/>
  <c r="F19" i="69"/>
  <c r="G19" i="69" s="1"/>
  <c r="F16" i="69"/>
  <c r="D18" i="68"/>
  <c r="H16" i="68"/>
  <c r="I16" i="68" s="1"/>
  <c r="I18" i="68" s="1"/>
  <c r="F16" i="68"/>
  <c r="F18" i="68" s="1"/>
  <c r="D25" i="67"/>
  <c r="H23" i="67"/>
  <c r="I23" i="67" s="1"/>
  <c r="F23" i="67"/>
  <c r="G23" i="67" s="1"/>
  <c r="H22" i="67"/>
  <c r="I22" i="67" s="1"/>
  <c r="F22" i="67"/>
  <c r="G22" i="67" s="1"/>
  <c r="H21" i="67"/>
  <c r="I21" i="67" s="1"/>
  <c r="F21" i="67"/>
  <c r="G21" i="67" s="1"/>
  <c r="H20" i="67"/>
  <c r="I20" i="67" s="1"/>
  <c r="F20" i="67"/>
  <c r="G20" i="67" s="1"/>
  <c r="H19" i="67"/>
  <c r="I19" i="67" s="1"/>
  <c r="H18" i="67"/>
  <c r="I18" i="67" s="1"/>
  <c r="H17" i="67"/>
  <c r="I17" i="67" s="1"/>
  <c r="H17" i="63"/>
  <c r="I17" i="63" s="1"/>
  <c r="H16" i="63"/>
  <c r="I16" i="63" s="1"/>
  <c r="H16" i="67"/>
  <c r="I16" i="67" s="1"/>
  <c r="F16" i="67"/>
  <c r="F19" i="67"/>
  <c r="G19" i="67" s="1"/>
  <c r="F18" i="67"/>
  <c r="G18" i="67" s="1"/>
  <c r="F17" i="67"/>
  <c r="G17" i="67" s="1"/>
  <c r="A17" i="66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H45" i="66"/>
  <c r="I45" i="66" s="1"/>
  <c r="F44" i="66"/>
  <c r="G44" i="66" s="1"/>
  <c r="D47" i="66"/>
  <c r="H32" i="66"/>
  <c r="I32" i="66" s="1"/>
  <c r="H31" i="66"/>
  <c r="I31" i="66" s="1"/>
  <c r="H30" i="66"/>
  <c r="I30" i="66" s="1"/>
  <c r="H23" i="66"/>
  <c r="I23" i="66" s="1"/>
  <c r="H22" i="66"/>
  <c r="I22" i="66" s="1"/>
  <c r="H21" i="66"/>
  <c r="I21" i="66" s="1"/>
  <c r="H20" i="66"/>
  <c r="I20" i="66" s="1"/>
  <c r="H17" i="66"/>
  <c r="I17" i="66" s="1"/>
  <c r="H16" i="66"/>
  <c r="I16" i="66" s="1"/>
  <c r="F31" i="66"/>
  <c r="G31" i="66" s="1"/>
  <c r="F30" i="66"/>
  <c r="H29" i="66"/>
  <c r="I29" i="66" s="1"/>
  <c r="F29" i="66"/>
  <c r="G29" i="66" s="1"/>
  <c r="H28" i="66"/>
  <c r="I28" i="66" s="1"/>
  <c r="F28" i="66"/>
  <c r="G28" i="66" s="1"/>
  <c r="H27" i="66"/>
  <c r="I27" i="66" s="1"/>
  <c r="F27" i="66"/>
  <c r="G27" i="66" s="1"/>
  <c r="H26" i="66"/>
  <c r="I26" i="66" s="1"/>
  <c r="F26" i="66"/>
  <c r="G26" i="66" s="1"/>
  <c r="H25" i="66"/>
  <c r="I25" i="66" s="1"/>
  <c r="F25" i="66"/>
  <c r="G25" i="66" s="1"/>
  <c r="H24" i="66"/>
  <c r="I24" i="66" s="1"/>
  <c r="F24" i="66"/>
  <c r="G24" i="66" s="1"/>
  <c r="F23" i="66"/>
  <c r="G23" i="66" s="1"/>
  <c r="F22" i="66"/>
  <c r="G22" i="66" s="1"/>
  <c r="F21" i="66"/>
  <c r="G21" i="66" s="1"/>
  <c r="F20" i="66"/>
  <c r="G20" i="66" s="1"/>
  <c r="H19" i="66"/>
  <c r="I19" i="66" s="1"/>
  <c r="F19" i="66"/>
  <c r="G19" i="66" s="1"/>
  <c r="H18" i="66"/>
  <c r="I18" i="66" s="1"/>
  <c r="F18" i="66"/>
  <c r="G18" i="66" s="1"/>
  <c r="F17" i="66"/>
  <c r="G17" i="66" s="1"/>
  <c r="F16" i="66"/>
  <c r="G16" i="66" s="1"/>
  <c r="H39" i="66"/>
  <c r="I39" i="66" s="1"/>
  <c r="F39" i="66"/>
  <c r="G39" i="66" s="1"/>
  <c r="H38" i="66"/>
  <c r="I38" i="66" s="1"/>
  <c r="F38" i="66"/>
  <c r="G38" i="66" s="1"/>
  <c r="H37" i="66"/>
  <c r="I37" i="66" s="1"/>
  <c r="F37" i="66"/>
  <c r="G37" i="66" s="1"/>
  <c r="H36" i="66"/>
  <c r="I36" i="66" s="1"/>
  <c r="F36" i="66"/>
  <c r="G36" i="66" s="1"/>
  <c r="H35" i="66"/>
  <c r="I35" i="66" s="1"/>
  <c r="F35" i="66"/>
  <c r="G35" i="66" s="1"/>
  <c r="H34" i="66"/>
  <c r="I34" i="66" s="1"/>
  <c r="F34" i="66"/>
  <c r="G34" i="66" s="1"/>
  <c r="H33" i="66"/>
  <c r="I33" i="66" s="1"/>
  <c r="F33" i="66"/>
  <c r="G33" i="66" s="1"/>
  <c r="F32" i="66"/>
  <c r="G32" i="66" s="1"/>
  <c r="H43" i="66"/>
  <c r="I43" i="66" s="1"/>
  <c r="F43" i="66"/>
  <c r="G43" i="66" s="1"/>
  <c r="H42" i="66"/>
  <c r="I42" i="66" s="1"/>
  <c r="F42" i="66"/>
  <c r="G42" i="66" s="1"/>
  <c r="H41" i="66"/>
  <c r="I41" i="66" s="1"/>
  <c r="F41" i="66"/>
  <c r="G41" i="66" s="1"/>
  <c r="H40" i="66"/>
  <c r="I40" i="66" s="1"/>
  <c r="F40" i="66"/>
  <c r="G40" i="66" s="1"/>
  <c r="F45" i="66"/>
  <c r="G45" i="66" s="1"/>
  <c r="H44" i="66"/>
  <c r="I44" i="66" s="1"/>
  <c r="D23" i="65"/>
  <c r="E21" i="65"/>
  <c r="F21" i="65" s="1"/>
  <c r="G21" i="65" s="1"/>
  <c r="E20" i="65"/>
  <c r="F20" i="65" s="1"/>
  <c r="G20" i="65" s="1"/>
  <c r="E19" i="65"/>
  <c r="F19" i="65" s="1"/>
  <c r="G19" i="65" s="1"/>
  <c r="E18" i="65"/>
  <c r="H18" i="65" s="1"/>
  <c r="I18" i="65" s="1"/>
  <c r="E17" i="65"/>
  <c r="H17" i="65" s="1"/>
  <c r="I17" i="65" s="1"/>
  <c r="E16" i="65"/>
  <c r="F16" i="65" s="1"/>
  <c r="E18" i="64"/>
  <c r="F18" i="64" s="1"/>
  <c r="G18" i="64" s="1"/>
  <c r="E17" i="64"/>
  <c r="H17" i="64" s="1"/>
  <c r="I17" i="64" s="1"/>
  <c r="E16" i="64"/>
  <c r="D20" i="64"/>
  <c r="H19" i="63"/>
  <c r="I19" i="63" s="1"/>
  <c r="F16" i="63"/>
  <c r="G16" i="63" s="1"/>
  <c r="D21" i="63"/>
  <c r="F19" i="63"/>
  <c r="G19" i="63" s="1"/>
  <c r="H18" i="63"/>
  <c r="I18" i="63" s="1"/>
  <c r="F18" i="63"/>
  <c r="G18" i="63" s="1"/>
  <c r="F17" i="63"/>
  <c r="G17" i="63" s="1"/>
  <c r="D18" i="62"/>
  <c r="H16" i="62"/>
  <c r="I16" i="62" s="1"/>
  <c r="I18" i="62" s="1"/>
  <c r="F16" i="62"/>
  <c r="H16" i="61"/>
  <c r="I16" i="61" s="1"/>
  <c r="I18" i="61" s="1"/>
  <c r="D18" i="61"/>
  <c r="F16" i="61"/>
  <c r="F18" i="61" s="1"/>
  <c r="H16" i="60"/>
  <c r="I16" i="60" s="1"/>
  <c r="I18" i="60" s="1"/>
  <c r="D18" i="60"/>
  <c r="F16" i="60"/>
  <c r="D18" i="59"/>
  <c r="H16" i="59"/>
  <c r="I16" i="59" s="1"/>
  <c r="I18" i="59" s="1"/>
  <c r="F16" i="59"/>
  <c r="G16" i="59" s="1"/>
  <c r="G18" i="59" s="1"/>
  <c r="D19" i="58"/>
  <c r="H16" i="58"/>
  <c r="I16" i="58" s="1"/>
  <c r="F16" i="58"/>
  <c r="G16" i="58" s="1"/>
  <c r="H17" i="58"/>
  <c r="I17" i="58" s="1"/>
  <c r="F17" i="58"/>
  <c r="G17" i="58" s="1"/>
  <c r="D18" i="57"/>
  <c r="H16" i="57"/>
  <c r="I16" i="57" s="1"/>
  <c r="I18" i="57" s="1"/>
  <c r="F16" i="57"/>
  <c r="G16" i="57" s="1"/>
  <c r="G18" i="57" s="1"/>
  <c r="E16" i="56"/>
  <c r="H16" i="56" s="1"/>
  <c r="I16" i="56" s="1"/>
  <c r="D20" i="56"/>
  <c r="E18" i="56"/>
  <c r="E17" i="56"/>
  <c r="F17" i="56" s="1"/>
  <c r="G17" i="56" s="1"/>
  <c r="D26" i="55"/>
  <c r="H17" i="55"/>
  <c r="I17" i="55" s="1"/>
  <c r="H24" i="55"/>
  <c r="H23" i="55"/>
  <c r="I23" i="55" s="1"/>
  <c r="H22" i="55"/>
  <c r="I22" i="55" s="1"/>
  <c r="H21" i="55"/>
  <c r="I21" i="55" s="1"/>
  <c r="H20" i="55"/>
  <c r="I20" i="55" s="1"/>
  <c r="H19" i="55"/>
  <c r="I19" i="55" s="1"/>
  <c r="H18" i="55"/>
  <c r="I18" i="55" s="1"/>
  <c r="H16" i="55"/>
  <c r="I16" i="55" s="1"/>
  <c r="I24" i="55"/>
  <c r="F24" i="55"/>
  <c r="G24" i="55" s="1"/>
  <c r="F23" i="55"/>
  <c r="G23" i="55" s="1"/>
  <c r="F22" i="55"/>
  <c r="G22" i="55" s="1"/>
  <c r="F21" i="55"/>
  <c r="G21" i="55" s="1"/>
  <c r="F20" i="55"/>
  <c r="G20" i="55" s="1"/>
  <c r="F19" i="55"/>
  <c r="G19" i="55" s="1"/>
  <c r="F18" i="55"/>
  <c r="G18" i="55" s="1"/>
  <c r="F17" i="55"/>
  <c r="G17" i="55" s="1"/>
  <c r="F16" i="55"/>
  <c r="G16" i="55" s="1"/>
  <c r="H16" i="54"/>
  <c r="I16" i="54" s="1"/>
  <c r="I18" i="54" s="1"/>
  <c r="D18" i="54"/>
  <c r="F16" i="54"/>
  <c r="F18" i="54" s="1"/>
  <c r="D18" i="53"/>
  <c r="H16" i="53"/>
  <c r="I16" i="53" s="1"/>
  <c r="I18" i="53" s="1"/>
  <c r="F16" i="53"/>
  <c r="H21" i="52"/>
  <c r="I21" i="52" s="1"/>
  <c r="H18" i="52"/>
  <c r="I18" i="52" s="1"/>
  <c r="H16" i="52"/>
  <c r="I16" i="52" s="1"/>
  <c r="D23" i="52"/>
  <c r="F21" i="52"/>
  <c r="G21" i="52" s="1"/>
  <c r="H20" i="52"/>
  <c r="I20" i="52" s="1"/>
  <c r="F20" i="52"/>
  <c r="G20" i="52" s="1"/>
  <c r="H19" i="52"/>
  <c r="I19" i="52" s="1"/>
  <c r="F19" i="52"/>
  <c r="G19" i="52" s="1"/>
  <c r="F18" i="52"/>
  <c r="G18" i="52" s="1"/>
  <c r="H17" i="52"/>
  <c r="I17" i="52" s="1"/>
  <c r="F16" i="52"/>
  <c r="G16" i="52" s="1"/>
  <c r="F17" i="52"/>
  <c r="D18" i="51"/>
  <c r="H16" i="51"/>
  <c r="I16" i="51" s="1"/>
  <c r="I18" i="51" s="1"/>
  <c r="F16" i="51"/>
  <c r="F18" i="51" s="1"/>
  <c r="E21" i="50"/>
  <c r="F21" i="50" s="1"/>
  <c r="G21" i="50" s="1"/>
  <c r="D25" i="50"/>
  <c r="F19" i="50"/>
  <c r="G19" i="50" s="1"/>
  <c r="H19" i="50"/>
  <c r="I19" i="50" s="1"/>
  <c r="F18" i="50"/>
  <c r="G18" i="50" s="1"/>
  <c r="H18" i="50"/>
  <c r="I18" i="50" s="1"/>
  <c r="H17" i="50"/>
  <c r="I17" i="50" s="1"/>
  <c r="F17" i="50"/>
  <c r="G17" i="50" s="1"/>
  <c r="H16" i="50"/>
  <c r="I16" i="50" s="1"/>
  <c r="H23" i="50"/>
  <c r="I23" i="50" s="1"/>
  <c r="F22" i="50"/>
  <c r="G22" i="50" s="1"/>
  <c r="H22" i="50"/>
  <c r="I22" i="50" s="1"/>
  <c r="H20" i="50"/>
  <c r="I20" i="50" s="1"/>
  <c r="F20" i="50"/>
  <c r="G20" i="50" s="1"/>
  <c r="F16" i="50"/>
  <c r="G16" i="50" s="1"/>
  <c r="F23" i="50"/>
  <c r="G23" i="50" s="1"/>
  <c r="D19" i="49"/>
  <c r="E17" i="49"/>
  <c r="H17" i="49" s="1"/>
  <c r="I17" i="49" s="1"/>
  <c r="E16" i="49"/>
  <c r="H37" i="48"/>
  <c r="I37" i="48" s="1"/>
  <c r="H36" i="48"/>
  <c r="I36" i="48" s="1"/>
  <c r="H33" i="48"/>
  <c r="I33" i="48" s="1"/>
  <c r="H32" i="48"/>
  <c r="I32" i="48" s="1"/>
  <c r="H24" i="48"/>
  <c r="I24" i="48" s="1"/>
  <c r="H23" i="48"/>
  <c r="I23" i="48" s="1"/>
  <c r="H22" i="48"/>
  <c r="I22" i="48" s="1"/>
  <c r="H21" i="48"/>
  <c r="I21" i="48" s="1"/>
  <c r="H17" i="48"/>
  <c r="I17" i="48" s="1"/>
  <c r="H16" i="48"/>
  <c r="I16" i="48" s="1"/>
  <c r="D49" i="48"/>
  <c r="A17" i="48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F28" i="48"/>
  <c r="G28" i="48" s="1"/>
  <c r="H28" i="48"/>
  <c r="I28" i="48" s="1"/>
  <c r="H27" i="48"/>
  <c r="I27" i="48" s="1"/>
  <c r="F27" i="48"/>
  <c r="G27" i="48" s="1"/>
  <c r="H26" i="48"/>
  <c r="I26" i="48" s="1"/>
  <c r="F26" i="48"/>
  <c r="G26" i="48" s="1"/>
  <c r="H25" i="48"/>
  <c r="I25" i="48" s="1"/>
  <c r="F24" i="48"/>
  <c r="G24" i="48" s="1"/>
  <c r="F23" i="48"/>
  <c r="G23" i="48" s="1"/>
  <c r="F22" i="48"/>
  <c r="G22" i="48" s="1"/>
  <c r="H20" i="48"/>
  <c r="I20" i="48" s="1"/>
  <c r="F20" i="48"/>
  <c r="G20" i="48" s="1"/>
  <c r="H19" i="48"/>
  <c r="I19" i="48" s="1"/>
  <c r="F19" i="48"/>
  <c r="G19" i="48" s="1"/>
  <c r="H18" i="48"/>
  <c r="I18" i="48" s="1"/>
  <c r="F18" i="48"/>
  <c r="G18" i="48" s="1"/>
  <c r="F39" i="48"/>
  <c r="G39" i="48" s="1"/>
  <c r="H39" i="48"/>
  <c r="I39" i="48" s="1"/>
  <c r="F38" i="48"/>
  <c r="G38" i="48" s="1"/>
  <c r="H38" i="48"/>
  <c r="I38" i="48" s="1"/>
  <c r="F37" i="48"/>
  <c r="G37" i="48" s="1"/>
  <c r="F35" i="48"/>
  <c r="G35" i="48" s="1"/>
  <c r="H35" i="48"/>
  <c r="I35" i="48" s="1"/>
  <c r="F34" i="48"/>
  <c r="G34" i="48" s="1"/>
  <c r="F33" i="48"/>
  <c r="G33" i="48" s="1"/>
  <c r="H31" i="48"/>
  <c r="I31" i="48" s="1"/>
  <c r="F31" i="48"/>
  <c r="G31" i="48" s="1"/>
  <c r="F30" i="48"/>
  <c r="G30" i="48" s="1"/>
  <c r="H29" i="48"/>
  <c r="I29" i="48" s="1"/>
  <c r="F29" i="48"/>
  <c r="G29" i="48" s="1"/>
  <c r="H47" i="48"/>
  <c r="I47" i="48" s="1"/>
  <c r="F46" i="48"/>
  <c r="G46" i="48" s="1"/>
  <c r="H46" i="48"/>
  <c r="I46" i="48" s="1"/>
  <c r="F45" i="48"/>
  <c r="G45" i="48" s="1"/>
  <c r="H45" i="48"/>
  <c r="I45" i="48" s="1"/>
  <c r="H44" i="48"/>
  <c r="I44" i="48" s="1"/>
  <c r="F44" i="48"/>
  <c r="G44" i="48" s="1"/>
  <c r="H43" i="48"/>
  <c r="I43" i="48" s="1"/>
  <c r="F42" i="48"/>
  <c r="G42" i="48" s="1"/>
  <c r="H42" i="48"/>
  <c r="I42" i="48" s="1"/>
  <c r="F41" i="48"/>
  <c r="G41" i="48" s="1"/>
  <c r="H41" i="48"/>
  <c r="I41" i="48" s="1"/>
  <c r="H40" i="48"/>
  <c r="I40" i="48" s="1"/>
  <c r="F40" i="48"/>
  <c r="G40" i="48" s="1"/>
  <c r="F16" i="48"/>
  <c r="F25" i="48"/>
  <c r="G25" i="48" s="1"/>
  <c r="F21" i="48"/>
  <c r="G21" i="48" s="1"/>
  <c r="H30" i="48"/>
  <c r="I30" i="48" s="1"/>
  <c r="F32" i="48"/>
  <c r="G32" i="48" s="1"/>
  <c r="H34" i="48"/>
  <c r="I34" i="48" s="1"/>
  <c r="F36" i="48"/>
  <c r="G36" i="48" s="1"/>
  <c r="F43" i="48"/>
  <c r="G43" i="48" s="1"/>
  <c r="F47" i="48"/>
  <c r="G47" i="48" s="1"/>
  <c r="F17" i="48"/>
  <c r="G17" i="48" s="1"/>
  <c r="D18" i="47"/>
  <c r="H16" i="47"/>
  <c r="I16" i="47" s="1"/>
  <c r="I18" i="47" s="1"/>
  <c r="F16" i="47"/>
  <c r="F18" i="47" s="1"/>
  <c r="H17" i="46"/>
  <c r="I17" i="46" s="1"/>
  <c r="H16" i="46"/>
  <c r="I16" i="46" s="1"/>
  <c r="D19" i="46"/>
  <c r="F17" i="46"/>
  <c r="G17" i="46" s="1"/>
  <c r="F16" i="46"/>
  <c r="G16" i="46" s="1"/>
  <c r="E19" i="45"/>
  <c r="H19" i="45" s="1"/>
  <c r="I19" i="45" s="1"/>
  <c r="E18" i="45"/>
  <c r="H18" i="45" s="1"/>
  <c r="I18" i="45" s="1"/>
  <c r="E17" i="45"/>
  <c r="F17" i="45" s="1"/>
  <c r="G17" i="45" s="1"/>
  <c r="E16" i="45"/>
  <c r="H16" i="45" s="1"/>
  <c r="I16" i="45" s="1"/>
  <c r="D21" i="45"/>
  <c r="D19" i="44"/>
  <c r="E17" i="44"/>
  <c r="E16" i="44"/>
  <c r="D29" i="43"/>
  <c r="E27" i="43"/>
  <c r="F27" i="43" s="1"/>
  <c r="G27" i="43" s="1"/>
  <c r="E26" i="43"/>
  <c r="H26" i="43" s="1"/>
  <c r="I26" i="43" s="1"/>
  <c r="E25" i="43"/>
  <c r="E24" i="43"/>
  <c r="E23" i="43"/>
  <c r="H23" i="43" s="1"/>
  <c r="I23" i="43" s="1"/>
  <c r="E22" i="43"/>
  <c r="H22" i="43" s="1"/>
  <c r="I22" i="43" s="1"/>
  <c r="E21" i="43"/>
  <c r="H21" i="43" s="1"/>
  <c r="I21" i="43" s="1"/>
  <c r="H20" i="43"/>
  <c r="I20" i="43" s="1"/>
  <c r="H19" i="43"/>
  <c r="I19" i="43" s="1"/>
  <c r="H18" i="43"/>
  <c r="I18" i="43" s="1"/>
  <c r="E17" i="43"/>
  <c r="H17" i="43" s="1"/>
  <c r="I17" i="43" s="1"/>
  <c r="H16" i="43"/>
  <c r="I16" i="43" s="1"/>
  <c r="F20" i="43"/>
  <c r="G20" i="43" s="1"/>
  <c r="F19" i="43"/>
  <c r="G19" i="43" s="1"/>
  <c r="F18" i="43"/>
  <c r="G18" i="43" s="1"/>
  <c r="F16" i="43"/>
  <c r="G16" i="43" s="1"/>
  <c r="E16" i="42"/>
  <c r="H16" i="42" s="1"/>
  <c r="I16" i="42" s="1"/>
  <c r="I18" i="42" s="1"/>
  <c r="D18" i="42"/>
  <c r="D18" i="41"/>
  <c r="H16" i="41"/>
  <c r="I16" i="41" s="1"/>
  <c r="I18" i="41" s="1"/>
  <c r="F16" i="41"/>
  <c r="F18" i="41" s="1"/>
  <c r="H16" i="40"/>
  <c r="I16" i="40" s="1"/>
  <c r="I18" i="40" s="1"/>
  <c r="D18" i="40"/>
  <c r="F16" i="40"/>
  <c r="G16" i="40" s="1"/>
  <c r="G18" i="40" s="1"/>
  <c r="D18" i="39"/>
  <c r="H16" i="39"/>
  <c r="I16" i="39" s="1"/>
  <c r="I18" i="39" s="1"/>
  <c r="F16" i="39"/>
  <c r="F18" i="39" s="1"/>
  <c r="D18" i="38"/>
  <c r="E16" i="38"/>
  <c r="H16" i="38" s="1"/>
  <c r="I16" i="38" s="1"/>
  <c r="I18" i="38" s="1"/>
  <c r="E16" i="37"/>
  <c r="H16" i="37" s="1"/>
  <c r="I16" i="37" s="1"/>
  <c r="I18" i="37" s="1"/>
  <c r="D18" i="37"/>
  <c r="H17" i="36"/>
  <c r="I17" i="36" s="1"/>
  <c r="H21" i="36"/>
  <c r="I21" i="36" s="1"/>
  <c r="H20" i="36"/>
  <c r="I20" i="36" s="1"/>
  <c r="H19" i="36"/>
  <c r="I19" i="36" s="1"/>
  <c r="H18" i="36"/>
  <c r="I18" i="36" s="1"/>
  <c r="D23" i="36"/>
  <c r="F21" i="36"/>
  <c r="G21" i="36" s="1"/>
  <c r="F20" i="36"/>
  <c r="G20" i="36" s="1"/>
  <c r="F19" i="36"/>
  <c r="G19" i="36" s="1"/>
  <c r="F18" i="36"/>
  <c r="G18" i="36" s="1"/>
  <c r="F17" i="36"/>
  <c r="G17" i="36" s="1"/>
  <c r="A17" i="36"/>
  <c r="A18" i="36" s="1"/>
  <c r="A19" i="36" s="1"/>
  <c r="A20" i="36" s="1"/>
  <c r="A21" i="36" s="1"/>
  <c r="H16" i="36"/>
  <c r="I16" i="36" s="1"/>
  <c r="F16" i="36"/>
  <c r="G16" i="36" s="1"/>
  <c r="D19" i="35"/>
  <c r="E17" i="35"/>
  <c r="H17" i="35" s="1"/>
  <c r="I17" i="35" s="1"/>
  <c r="E16" i="35"/>
  <c r="F16" i="35" s="1"/>
  <c r="D18" i="34"/>
  <c r="H16" i="34"/>
  <c r="I16" i="34" s="1"/>
  <c r="I18" i="34" s="1"/>
  <c r="F16" i="34"/>
  <c r="F18" i="34" s="1"/>
  <c r="H16" i="33"/>
  <c r="I16" i="33" s="1"/>
  <c r="I18" i="33" s="1"/>
  <c r="D18" i="33"/>
  <c r="F16" i="33"/>
  <c r="G16" i="33" s="1"/>
  <c r="G18" i="33" s="1"/>
  <c r="H19" i="32"/>
  <c r="I19" i="32" s="1"/>
  <c r="H18" i="32"/>
  <c r="I18" i="32" s="1"/>
  <c r="H17" i="32"/>
  <c r="I17" i="32" s="1"/>
  <c r="H16" i="32"/>
  <c r="I16" i="32" s="1"/>
  <c r="D31" i="32"/>
  <c r="H28" i="32"/>
  <c r="I28" i="32" s="1"/>
  <c r="F28" i="32"/>
  <c r="G28" i="32" s="1"/>
  <c r="H24" i="32"/>
  <c r="I24" i="32" s="1"/>
  <c r="F24" i="32"/>
  <c r="G24" i="32" s="1"/>
  <c r="H23" i="32"/>
  <c r="I23" i="32" s="1"/>
  <c r="F23" i="32"/>
  <c r="G23" i="32" s="1"/>
  <c r="H22" i="32"/>
  <c r="I22" i="32" s="1"/>
  <c r="F22" i="32"/>
  <c r="G22" i="32" s="1"/>
  <c r="H21" i="32"/>
  <c r="I21" i="32" s="1"/>
  <c r="F21" i="32"/>
  <c r="G21" i="32" s="1"/>
  <c r="F19" i="32"/>
  <c r="G19" i="32" s="1"/>
  <c r="F18" i="32"/>
  <c r="G18" i="32" s="1"/>
  <c r="F17" i="32"/>
  <c r="G17" i="32" s="1"/>
  <c r="F16" i="32"/>
  <c r="G16" i="32" s="1"/>
  <c r="H26" i="32"/>
  <c r="I26" i="32" s="1"/>
  <c r="F26" i="32"/>
  <c r="G26" i="32" s="1"/>
  <c r="H25" i="32"/>
  <c r="I25" i="32" s="1"/>
  <c r="F25" i="32"/>
  <c r="G25" i="32" s="1"/>
  <c r="H27" i="32"/>
  <c r="I27" i="32" s="1"/>
  <c r="F27" i="32"/>
  <c r="G27" i="32" s="1"/>
  <c r="H29" i="32"/>
  <c r="I29" i="32" s="1"/>
  <c r="F29" i="32"/>
  <c r="G29" i="32" s="1"/>
  <c r="H20" i="32"/>
  <c r="I20" i="32" s="1"/>
  <c r="F20" i="32"/>
  <c r="G20" i="32" s="1"/>
  <c r="D19" i="31"/>
  <c r="H17" i="31"/>
  <c r="I17" i="31" s="1"/>
  <c r="H16" i="31"/>
  <c r="I16" i="31" s="1"/>
  <c r="F17" i="31"/>
  <c r="G17" i="31" s="1"/>
  <c r="F16" i="31"/>
  <c r="G16" i="31" s="1"/>
  <c r="H16" i="30"/>
  <c r="I16" i="30" s="1"/>
  <c r="I18" i="30" s="1"/>
  <c r="D18" i="30"/>
  <c r="F16" i="30"/>
  <c r="G16" i="30" s="1"/>
  <c r="G18" i="30" s="1"/>
  <c r="E16" i="29"/>
  <c r="H16" i="29" s="1"/>
  <c r="I16" i="29" s="1"/>
  <c r="H25" i="29"/>
  <c r="I25" i="29" s="1"/>
  <c r="H20" i="29"/>
  <c r="I20" i="29" s="1"/>
  <c r="H24" i="29"/>
  <c r="I24" i="29" s="1"/>
  <c r="H23" i="29"/>
  <c r="I23" i="29" s="1"/>
  <c r="H22" i="29"/>
  <c r="I22" i="29" s="1"/>
  <c r="H21" i="29"/>
  <c r="I21" i="29" s="1"/>
  <c r="H19" i="29"/>
  <c r="I19" i="29" s="1"/>
  <c r="H18" i="29"/>
  <c r="I18" i="29" s="1"/>
  <c r="H17" i="29"/>
  <c r="I17" i="29" s="1"/>
  <c r="D28" i="29"/>
  <c r="H26" i="29"/>
  <c r="I26" i="29" s="1"/>
  <c r="F26" i="29"/>
  <c r="G26" i="29" s="1"/>
  <c r="F25" i="29"/>
  <c r="G25" i="29" s="1"/>
  <c r="F24" i="29"/>
  <c r="G24" i="29" s="1"/>
  <c r="F23" i="29"/>
  <c r="G23" i="29" s="1"/>
  <c r="F22" i="29"/>
  <c r="G22" i="29" s="1"/>
  <c r="F21" i="29"/>
  <c r="G21" i="29" s="1"/>
  <c r="F20" i="29"/>
  <c r="G20" i="29" s="1"/>
  <c r="F19" i="29"/>
  <c r="G19" i="29" s="1"/>
  <c r="F18" i="29"/>
  <c r="G18" i="29" s="1"/>
  <c r="F17" i="29"/>
  <c r="G17" i="29" s="1"/>
  <c r="A17" i="29"/>
  <c r="A18" i="29" s="1"/>
  <c r="A19" i="29" s="1"/>
  <c r="A20" i="29" s="1"/>
  <c r="A21" i="29" s="1"/>
  <c r="A22" i="29" s="1"/>
  <c r="A23" i="29" s="1"/>
  <c r="A24" i="29" s="1"/>
  <c r="A25" i="29" s="1"/>
  <c r="A26" i="29" s="1"/>
  <c r="H31" i="28"/>
  <c r="I31" i="28" s="1"/>
  <c r="H30" i="28"/>
  <c r="I30" i="28" s="1"/>
  <c r="D33" i="28"/>
  <c r="H28" i="28"/>
  <c r="I28" i="28" s="1"/>
  <c r="F25" i="28"/>
  <c r="G25" i="28" s="1"/>
  <c r="F22" i="28"/>
  <c r="G22" i="28" s="1"/>
  <c r="F31" i="28"/>
  <c r="G31" i="28" s="1"/>
  <c r="F30" i="28"/>
  <c r="G30" i="28" s="1"/>
  <c r="H29" i="28"/>
  <c r="I29" i="28" s="1"/>
  <c r="F29" i="28"/>
  <c r="G29" i="28" s="1"/>
  <c r="F27" i="28"/>
  <c r="G27" i="28" s="1"/>
  <c r="H27" i="28"/>
  <c r="I27" i="28" s="1"/>
  <c r="F26" i="28"/>
  <c r="G26" i="28" s="1"/>
  <c r="H26" i="28"/>
  <c r="I26" i="28" s="1"/>
  <c r="H25" i="28"/>
  <c r="I25" i="28" s="1"/>
  <c r="H24" i="28"/>
  <c r="I24" i="28" s="1"/>
  <c r="F23" i="28"/>
  <c r="G23" i="28" s="1"/>
  <c r="H23" i="28"/>
  <c r="I23" i="28" s="1"/>
  <c r="H22" i="28"/>
  <c r="I22" i="28" s="1"/>
  <c r="H21" i="28"/>
  <c r="I21" i="28" s="1"/>
  <c r="F21" i="28"/>
  <c r="G21" i="28" s="1"/>
  <c r="H20" i="28"/>
  <c r="I20" i="28" s="1"/>
  <c r="H18" i="28"/>
  <c r="I18" i="28" s="1"/>
  <c r="F18" i="28"/>
  <c r="G18" i="28" s="1"/>
  <c r="F17" i="28"/>
  <c r="G17" i="28" s="1"/>
  <c r="H17" i="28"/>
  <c r="I17" i="28" s="1"/>
  <c r="E16" i="28"/>
  <c r="H16" i="28" s="1"/>
  <c r="I16" i="28" s="1"/>
  <c r="A17" i="28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H19" i="28"/>
  <c r="I19" i="28" s="1"/>
  <c r="F19" i="28"/>
  <c r="G19" i="28" s="1"/>
  <c r="F20" i="28"/>
  <c r="G20" i="28" s="1"/>
  <c r="F24" i="28"/>
  <c r="G24" i="28" s="1"/>
  <c r="F28" i="28"/>
  <c r="G28" i="28" s="1"/>
  <c r="D19" i="27"/>
  <c r="E17" i="27"/>
  <c r="F17" i="27" s="1"/>
  <c r="G17" i="27" s="1"/>
  <c r="E16" i="27"/>
  <c r="H16" i="27" s="1"/>
  <c r="I16" i="27" s="1"/>
  <c r="E16" i="26"/>
  <c r="F16" i="26" s="1"/>
  <c r="G16" i="26" s="1"/>
  <c r="E17" i="26"/>
  <c r="D19" i="26"/>
  <c r="D18" i="25"/>
  <c r="H16" i="25"/>
  <c r="I16" i="25" s="1"/>
  <c r="I18" i="25" s="1"/>
  <c r="F16" i="25"/>
  <c r="H16" i="24"/>
  <c r="I16" i="24" s="1"/>
  <c r="I18" i="24" s="1"/>
  <c r="D18" i="24"/>
  <c r="F16" i="24"/>
  <c r="F18" i="24" s="1"/>
  <c r="E24" i="23"/>
  <c r="H24" i="23" s="1"/>
  <c r="I24" i="23" s="1"/>
  <c r="E17" i="23"/>
  <c r="E23" i="23"/>
  <c r="H23" i="23" s="1"/>
  <c r="I23" i="23" s="1"/>
  <c r="D19" i="21"/>
  <c r="E17" i="21"/>
  <c r="F17" i="21" s="1"/>
  <c r="G17" i="21" s="1"/>
  <c r="H16" i="23"/>
  <c r="I16" i="23" s="1"/>
  <c r="D27" i="23"/>
  <c r="F20" i="23"/>
  <c r="G20" i="23" s="1"/>
  <c r="H20" i="23"/>
  <c r="I20" i="23" s="1"/>
  <c r="F19" i="23"/>
  <c r="G19" i="23" s="1"/>
  <c r="H19" i="23"/>
  <c r="I19" i="23" s="1"/>
  <c r="H18" i="23"/>
  <c r="I18" i="23" s="1"/>
  <c r="F18" i="23"/>
  <c r="G18" i="23" s="1"/>
  <c r="F22" i="23"/>
  <c r="G22" i="23" s="1"/>
  <c r="H22" i="23"/>
  <c r="I22" i="23" s="1"/>
  <c r="F21" i="23"/>
  <c r="G21" i="23" s="1"/>
  <c r="H21" i="23"/>
  <c r="I21" i="23" s="1"/>
  <c r="H25" i="23"/>
  <c r="I25" i="23" s="1"/>
  <c r="F16" i="23"/>
  <c r="G16" i="23" s="1"/>
  <c r="F25" i="23"/>
  <c r="G25" i="23" s="1"/>
  <c r="E17" i="22"/>
  <c r="H17" i="22" s="1"/>
  <c r="I17" i="22" s="1"/>
  <c r="E18" i="22"/>
  <c r="H18" i="22" s="1"/>
  <c r="I18" i="22" s="1"/>
  <c r="E16" i="22"/>
  <c r="F16" i="22" s="1"/>
  <c r="D20" i="22"/>
  <c r="E16" i="21"/>
  <c r="H16" i="21" s="1"/>
  <c r="I16" i="21" s="1"/>
  <c r="E17" i="20"/>
  <c r="H17" i="20" s="1"/>
  <c r="I17" i="20" s="1"/>
  <c r="E16" i="20"/>
  <c r="D19" i="20"/>
  <c r="A17" i="20"/>
  <c r="D21" i="19"/>
  <c r="E19" i="19"/>
  <c r="F19" i="19" s="1"/>
  <c r="G19" i="19" s="1"/>
  <c r="E18" i="19"/>
  <c r="E17" i="19"/>
  <c r="E16" i="19"/>
  <c r="A17" i="19"/>
  <c r="A18" i="19" s="1"/>
  <c r="A19" i="19" s="1"/>
  <c r="E20" i="17"/>
  <c r="H20" i="17" s="1"/>
  <c r="I20" i="17" s="1"/>
  <c r="E16" i="18"/>
  <c r="F16" i="18" s="1"/>
  <c r="D18" i="18"/>
  <c r="E21" i="17"/>
  <c r="H21" i="17" s="1"/>
  <c r="I21" i="17" s="1"/>
  <c r="E25" i="17"/>
  <c r="F25" i="17" s="1"/>
  <c r="E24" i="17"/>
  <c r="H24" i="17" s="1"/>
  <c r="I24" i="17" s="1"/>
  <c r="E23" i="17"/>
  <c r="H23" i="17" s="1"/>
  <c r="I23" i="17" s="1"/>
  <c r="E22" i="17"/>
  <c r="H22" i="17" s="1"/>
  <c r="I22" i="17" s="1"/>
  <c r="E19" i="17"/>
  <c r="F19" i="17" s="1"/>
  <c r="G19" i="17" s="1"/>
  <c r="E18" i="17"/>
  <c r="H18" i="17" s="1"/>
  <c r="I18" i="17" s="1"/>
  <c r="E17" i="17"/>
  <c r="E16" i="17"/>
  <c r="F16" i="17" s="1"/>
  <c r="G16" i="17" s="1"/>
  <c r="D27" i="17"/>
  <c r="F24" i="17"/>
  <c r="G24" i="17" s="1"/>
  <c r="E27" i="16"/>
  <c r="H27" i="16" s="1"/>
  <c r="I27" i="16" s="1"/>
  <c r="E41" i="16"/>
  <c r="F41" i="16" s="1"/>
  <c r="G41" i="16" s="1"/>
  <c r="E40" i="16"/>
  <c r="F40" i="16" s="1"/>
  <c r="G40" i="16" s="1"/>
  <c r="E39" i="16"/>
  <c r="H39" i="16" s="1"/>
  <c r="I39" i="16" s="1"/>
  <c r="E38" i="16"/>
  <c r="E37" i="16"/>
  <c r="F37" i="16" s="1"/>
  <c r="G37" i="16" s="1"/>
  <c r="E36" i="16"/>
  <c r="H36" i="16" s="1"/>
  <c r="I36" i="16" s="1"/>
  <c r="E35" i="16"/>
  <c r="H35" i="16" s="1"/>
  <c r="I35" i="16" s="1"/>
  <c r="E34" i="16"/>
  <c r="F34" i="16" s="1"/>
  <c r="G34" i="16" s="1"/>
  <c r="E33" i="16"/>
  <c r="H32" i="16"/>
  <c r="I32" i="16" s="1"/>
  <c r="E31" i="16"/>
  <c r="F31" i="16" s="1"/>
  <c r="G31" i="16" s="1"/>
  <c r="H30" i="16"/>
  <c r="I30" i="16" s="1"/>
  <c r="E29" i="16"/>
  <c r="H29" i="16" s="1"/>
  <c r="I29" i="16" s="1"/>
  <c r="E28" i="16"/>
  <c r="F28" i="16" s="1"/>
  <c r="G28" i="16" s="1"/>
  <c r="H26" i="16"/>
  <c r="I26" i="16" s="1"/>
  <c r="H25" i="16"/>
  <c r="I25" i="16" s="1"/>
  <c r="E24" i="16"/>
  <c r="H23" i="16"/>
  <c r="I23" i="16" s="1"/>
  <c r="E22" i="16"/>
  <c r="F22" i="16" s="1"/>
  <c r="G22" i="16" s="1"/>
  <c r="H21" i="16"/>
  <c r="I21" i="16" s="1"/>
  <c r="E20" i="16"/>
  <c r="H20" i="16" s="1"/>
  <c r="I20" i="16" s="1"/>
  <c r="E19" i="16"/>
  <c r="H19" i="16" s="1"/>
  <c r="I19" i="16" s="1"/>
  <c r="E18" i="16"/>
  <c r="F18" i="16" s="1"/>
  <c r="G18" i="16" s="1"/>
  <c r="E17" i="16"/>
  <c r="H17" i="16" s="1"/>
  <c r="I17" i="16" s="1"/>
  <c r="H16" i="16"/>
  <c r="I16" i="16" s="1"/>
  <c r="F32" i="16"/>
  <c r="G32" i="16" s="1"/>
  <c r="F30" i="16"/>
  <c r="G30" i="16" s="1"/>
  <c r="F26" i="16"/>
  <c r="G26" i="16" s="1"/>
  <c r="F25" i="16"/>
  <c r="G25" i="16" s="1"/>
  <c r="F23" i="16"/>
  <c r="G23" i="16" s="1"/>
  <c r="F21" i="16"/>
  <c r="G21" i="16" s="1"/>
  <c r="F16" i="16"/>
  <c r="A17" i="16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D43" i="16"/>
  <c r="H17" i="15"/>
  <c r="I17" i="15" s="1"/>
  <c r="H16" i="15"/>
  <c r="I16" i="15" s="1"/>
  <c r="E24" i="5"/>
  <c r="H24" i="5" s="1"/>
  <c r="I24" i="5" s="1"/>
  <c r="E22" i="5"/>
  <c r="E21" i="5"/>
  <c r="F21" i="5" s="1"/>
  <c r="G21" i="5" s="1"/>
  <c r="E20" i="5"/>
  <c r="H20" i="5" s="1"/>
  <c r="I20" i="5" s="1"/>
  <c r="E19" i="5"/>
  <c r="H19" i="5" s="1"/>
  <c r="I19" i="5" s="1"/>
  <c r="E16" i="5"/>
  <c r="F16" i="5" s="1"/>
  <c r="D19" i="15"/>
  <c r="F16" i="15"/>
  <c r="F17" i="15"/>
  <c r="E26" i="14"/>
  <c r="H26" i="14" s="1"/>
  <c r="I26" i="14" s="1"/>
  <c r="E25" i="14"/>
  <c r="F25" i="14" s="1"/>
  <c r="G25" i="14" s="1"/>
  <c r="E24" i="14"/>
  <c r="E23" i="14"/>
  <c r="H23" i="14" s="1"/>
  <c r="I23" i="14" s="1"/>
  <c r="E22" i="14"/>
  <c r="H22" i="14" s="1"/>
  <c r="I22" i="14" s="1"/>
  <c r="E21" i="14"/>
  <c r="H21" i="14" s="1"/>
  <c r="I21" i="14" s="1"/>
  <c r="E20" i="14"/>
  <c r="E19" i="14"/>
  <c r="F19" i="14" s="1"/>
  <c r="G19" i="14" s="1"/>
  <c r="E18" i="14"/>
  <c r="F18" i="14" s="1"/>
  <c r="G18" i="14" s="1"/>
  <c r="E17" i="14"/>
  <c r="H17" i="14" s="1"/>
  <c r="I17" i="14" s="1"/>
  <c r="E16" i="14"/>
  <c r="D28" i="14"/>
  <c r="G19" i="15"/>
  <c r="E16" i="13"/>
  <c r="D18" i="13"/>
  <c r="D19" i="12"/>
  <c r="H16" i="12"/>
  <c r="I16" i="12" s="1"/>
  <c r="F16" i="12"/>
  <c r="G16" i="12" s="1"/>
  <c r="H17" i="12"/>
  <c r="I17" i="12" s="1"/>
  <c r="F17" i="12"/>
  <c r="D18" i="11"/>
  <c r="H16" i="11"/>
  <c r="I16" i="11" s="1"/>
  <c r="I18" i="11" s="1"/>
  <c r="F16" i="11"/>
  <c r="G16" i="11" s="1"/>
  <c r="G18" i="11" s="1"/>
  <c r="D18" i="10"/>
  <c r="H16" i="10"/>
  <c r="I16" i="10" s="1"/>
  <c r="I18" i="10" s="1"/>
  <c r="F16" i="10"/>
  <c r="G16" i="10" s="1"/>
  <c r="G18" i="10" s="1"/>
  <c r="D18" i="9"/>
  <c r="H16" i="9"/>
  <c r="I16" i="9" s="1"/>
  <c r="I18" i="9" s="1"/>
  <c r="F16" i="9"/>
  <c r="F18" i="9" s="1"/>
  <c r="E16" i="8"/>
  <c r="D18" i="8"/>
  <c r="D18" i="7"/>
  <c r="F16" i="7"/>
  <c r="H16" i="7"/>
  <c r="I16" i="7" s="1"/>
  <c r="I18" i="7" s="1"/>
  <c r="D18" i="6"/>
  <c r="E16" i="6"/>
  <c r="F16" i="6" s="1"/>
  <c r="E23" i="5"/>
  <c r="F23" i="5" s="1"/>
  <c r="G23" i="5" s="1"/>
  <c r="H18" i="5"/>
  <c r="I18" i="5" s="1"/>
  <c r="E17" i="5"/>
  <c r="H17" i="5" s="1"/>
  <c r="I17" i="5" s="1"/>
  <c r="D26" i="5"/>
  <c r="F18" i="5"/>
  <c r="G18" i="5" s="1"/>
  <c r="E16" i="4"/>
  <c r="H16" i="4" s="1"/>
  <c r="I16" i="4" s="1"/>
  <c r="I18" i="4" s="1"/>
  <c r="D18" i="4"/>
  <c r="H16" i="3"/>
  <c r="I16" i="3" s="1"/>
  <c r="I18" i="3" s="1"/>
  <c r="D18" i="3"/>
  <c r="F16" i="3"/>
  <c r="G16" i="3" s="1"/>
  <c r="G18" i="3" s="1"/>
  <c r="H16" i="2"/>
  <c r="I16" i="2" s="1"/>
  <c r="I18" i="2" s="1"/>
  <c r="D18" i="2"/>
  <c r="F16" i="2"/>
  <c r="F18" i="2" s="1"/>
  <c r="A17" i="1"/>
  <c r="A18" i="1" s="1"/>
  <c r="A19" i="1" s="1"/>
  <c r="A20" i="1" s="1"/>
  <c r="A21" i="1" s="1"/>
  <c r="A22" i="1" s="1"/>
  <c r="A23" i="1" s="1"/>
  <c r="A24" i="1" s="1"/>
  <c r="A25" i="1" s="1"/>
  <c r="A26" i="1" s="1"/>
  <c r="D28" i="1"/>
  <c r="E26" i="1"/>
  <c r="F26" i="1" s="1"/>
  <c r="G26" i="1" s="1"/>
  <c r="E25" i="1"/>
  <c r="F25" i="1" s="1"/>
  <c r="G25" i="1" s="1"/>
  <c r="E24" i="1"/>
  <c r="F24" i="1" s="1"/>
  <c r="G24" i="1" s="1"/>
  <c r="E23" i="1"/>
  <c r="F23" i="1" s="1"/>
  <c r="G23" i="1" s="1"/>
  <c r="E22" i="1"/>
  <c r="F22" i="1" s="1"/>
  <c r="G22" i="1" s="1"/>
  <c r="E21" i="1"/>
  <c r="F21" i="1" s="1"/>
  <c r="G21" i="1" s="1"/>
  <c r="E20" i="1"/>
  <c r="F20" i="1" s="1"/>
  <c r="G20" i="1" s="1"/>
  <c r="E19" i="1"/>
  <c r="F19" i="1" s="1"/>
  <c r="G19" i="1" s="1"/>
  <c r="E18" i="1"/>
  <c r="F18" i="1" s="1"/>
  <c r="G18" i="1" s="1"/>
  <c r="H17" i="1"/>
  <c r="I17" i="1" s="1"/>
  <c r="F17" i="1"/>
  <c r="G17" i="1" s="1"/>
  <c r="H16" i="1"/>
  <c r="I16" i="1" s="1"/>
  <c r="I26" i="1"/>
  <c r="I25" i="1"/>
  <c r="I24" i="1"/>
  <c r="I23" i="1"/>
  <c r="I22" i="1"/>
  <c r="I21" i="1"/>
  <c r="I20" i="1"/>
  <c r="I19" i="1"/>
  <c r="I18" i="1"/>
  <c r="F16" i="1"/>
  <c r="G16" i="1" s="1"/>
  <c r="H40" i="16" l="1"/>
  <c r="I40" i="16" s="1"/>
  <c r="F17" i="22"/>
  <c r="G17" i="22" s="1"/>
  <c r="F19" i="79"/>
  <c r="H25" i="14"/>
  <c r="I25" i="14" s="1"/>
  <c r="H33" i="83"/>
  <c r="I33" i="83" s="1"/>
  <c r="H19" i="72"/>
  <c r="I19" i="72" s="1"/>
  <c r="H16" i="5"/>
  <c r="I16" i="5" s="1"/>
  <c r="F24" i="23"/>
  <c r="G24" i="23" s="1"/>
  <c r="F17" i="64"/>
  <c r="G17" i="64" s="1"/>
  <c r="H37" i="16"/>
  <c r="I37" i="16" s="1"/>
  <c r="F26" i="43"/>
  <c r="G26" i="43" s="1"/>
  <c r="F16" i="72"/>
  <c r="G16" i="72" s="1"/>
  <c r="H21" i="72"/>
  <c r="I21" i="72" s="1"/>
  <c r="F21" i="14"/>
  <c r="G21" i="14" s="1"/>
  <c r="F29" i="16"/>
  <c r="G29" i="16" s="1"/>
  <c r="F36" i="16"/>
  <c r="G36" i="16" s="1"/>
  <c r="F19" i="5"/>
  <c r="G19" i="5" s="1"/>
  <c r="F23" i="23"/>
  <c r="G23" i="23" s="1"/>
  <c r="F26" i="14"/>
  <c r="G26" i="14" s="1"/>
  <c r="H17" i="21"/>
  <c r="I17" i="21" s="1"/>
  <c r="I19" i="21" s="1"/>
  <c r="F18" i="45"/>
  <c r="G18" i="45" s="1"/>
  <c r="F21" i="17"/>
  <c r="F21" i="43"/>
  <c r="G21" i="43" s="1"/>
  <c r="F24" i="5"/>
  <c r="G24" i="5" s="1"/>
  <c r="F17" i="65"/>
  <c r="G17" i="65" s="1"/>
  <c r="H21" i="50"/>
  <c r="I21" i="50" s="1"/>
  <c r="I25" i="50" s="1"/>
  <c r="F16" i="56"/>
  <c r="G16" i="56" s="1"/>
  <c r="F16" i="21"/>
  <c r="G16" i="21" s="1"/>
  <c r="G19" i="21" s="1"/>
  <c r="H19" i="65"/>
  <c r="I19" i="65" s="1"/>
  <c r="G16" i="6"/>
  <c r="G18" i="6" s="1"/>
  <c r="F18" i="6"/>
  <c r="F16" i="4"/>
  <c r="F18" i="4" s="1"/>
  <c r="H21" i="5"/>
  <c r="I21" i="5" s="1"/>
  <c r="F17" i="14"/>
  <c r="G17" i="14" s="1"/>
  <c r="F39" i="16"/>
  <c r="G39" i="16" s="1"/>
  <c r="F18" i="65"/>
  <c r="G18" i="65" s="1"/>
  <c r="H23" i="5"/>
  <c r="I23" i="5" s="1"/>
  <c r="H16" i="6"/>
  <c r="I16" i="6" s="1"/>
  <c r="I18" i="6" s="1"/>
  <c r="H22" i="16"/>
  <c r="I22" i="16" s="1"/>
  <c r="F35" i="16"/>
  <c r="G35" i="16" s="1"/>
  <c r="I19" i="15"/>
  <c r="H25" i="17"/>
  <c r="I25" i="17" s="1"/>
  <c r="H17" i="45"/>
  <c r="I17" i="45" s="1"/>
  <c r="I21" i="45" s="1"/>
  <c r="H21" i="65"/>
  <c r="I21" i="65" s="1"/>
  <c r="G16" i="68"/>
  <c r="G18" i="68" s="1"/>
  <c r="F24" i="83"/>
  <c r="G24" i="83" s="1"/>
  <c r="G16" i="85"/>
  <c r="G17" i="85" s="1"/>
  <c r="G16" i="54"/>
  <c r="G18" i="54" s="1"/>
  <c r="F17" i="16"/>
  <c r="G17" i="16" s="1"/>
  <c r="F23" i="14"/>
  <c r="G23" i="14" s="1"/>
  <c r="F20" i="17"/>
  <c r="G16" i="24"/>
  <c r="G18" i="24" s="1"/>
  <c r="G16" i="61"/>
  <c r="G18" i="61" s="1"/>
  <c r="G19" i="31"/>
  <c r="H31" i="16"/>
  <c r="I31" i="16" s="1"/>
  <c r="H34" i="16"/>
  <c r="I34" i="16" s="1"/>
  <c r="F18" i="17"/>
  <c r="G18" i="17" s="1"/>
  <c r="F22" i="83"/>
  <c r="G22" i="83" s="1"/>
  <c r="G26" i="55"/>
  <c r="F20" i="5"/>
  <c r="G20" i="5" s="1"/>
  <c r="F23" i="43"/>
  <c r="G23" i="43" s="1"/>
  <c r="G19" i="46"/>
  <c r="H30" i="83"/>
  <c r="I30" i="83" s="1"/>
  <c r="I19" i="12"/>
  <c r="F17" i="20"/>
  <c r="G17" i="20" s="1"/>
  <c r="H27" i="43"/>
  <c r="I27" i="43" s="1"/>
  <c r="F16" i="83"/>
  <c r="G16" i="83" s="1"/>
  <c r="H34" i="83"/>
  <c r="I34" i="83" s="1"/>
  <c r="F21" i="83"/>
  <c r="G21" i="83" s="1"/>
  <c r="F17" i="83"/>
  <c r="G17" i="83" s="1"/>
  <c r="F19" i="45"/>
  <c r="G19" i="45" s="1"/>
  <c r="G16" i="9"/>
  <c r="G18" i="9" s="1"/>
  <c r="F18" i="10"/>
  <c r="F18" i="11"/>
  <c r="F27" i="16"/>
  <c r="G27" i="16" s="1"/>
  <c r="G16" i="39"/>
  <c r="G18" i="39" s="1"/>
  <c r="G16" i="47"/>
  <c r="G18" i="47" s="1"/>
  <c r="F17" i="49"/>
  <c r="G17" i="49" s="1"/>
  <c r="H18" i="64"/>
  <c r="I18" i="64" s="1"/>
  <c r="H26" i="83"/>
  <c r="I26" i="83" s="1"/>
  <c r="H22" i="5"/>
  <c r="I22" i="5" s="1"/>
  <c r="F22" i="5"/>
  <c r="G22" i="5" s="1"/>
  <c r="F22" i="14"/>
  <c r="G22" i="14" s="1"/>
  <c r="H18" i="14"/>
  <c r="I18" i="14" s="1"/>
  <c r="F19" i="15"/>
  <c r="F20" i="16"/>
  <c r="G20" i="16" s="1"/>
  <c r="F22" i="17"/>
  <c r="G22" i="17" s="1"/>
  <c r="H16" i="18"/>
  <c r="I16" i="18" s="1"/>
  <c r="I18" i="18" s="1"/>
  <c r="H16" i="17"/>
  <c r="I16" i="17" s="1"/>
  <c r="F16" i="28"/>
  <c r="F33" i="28" s="1"/>
  <c r="F16" i="29"/>
  <c r="G16" i="29" s="1"/>
  <c r="G28" i="29" s="1"/>
  <c r="H16" i="35"/>
  <c r="I16" i="35" s="1"/>
  <c r="I19" i="35" s="1"/>
  <c r="H17" i="56"/>
  <c r="I17" i="56" s="1"/>
  <c r="F18" i="59"/>
  <c r="F21" i="63"/>
  <c r="H20" i="65"/>
  <c r="I20" i="65" s="1"/>
  <c r="H18" i="16"/>
  <c r="I18" i="16" s="1"/>
  <c r="H28" i="16"/>
  <c r="I28" i="16" s="1"/>
  <c r="H19" i="17"/>
  <c r="I19" i="17" s="1"/>
  <c r="H16" i="26"/>
  <c r="I16" i="26" s="1"/>
  <c r="F16" i="27"/>
  <c r="F19" i="27" s="1"/>
  <c r="F18" i="33"/>
  <c r="G16" i="34"/>
  <c r="G18" i="34" s="1"/>
  <c r="F16" i="37"/>
  <c r="G16" i="41"/>
  <c r="G18" i="41" s="1"/>
  <c r="H16" i="65"/>
  <c r="I16" i="65" s="1"/>
  <c r="H20" i="72"/>
  <c r="I20" i="72" s="1"/>
  <c r="F27" i="78"/>
  <c r="G16" i="84"/>
  <c r="G17" i="84" s="1"/>
  <c r="H17" i="27"/>
  <c r="I17" i="27" s="1"/>
  <c r="I19" i="27" s="1"/>
  <c r="I23" i="36"/>
  <c r="H19" i="83"/>
  <c r="I19" i="83" s="1"/>
  <c r="H25" i="83"/>
  <c r="I25" i="83" s="1"/>
  <c r="F27" i="83"/>
  <c r="G27" i="83" s="1"/>
  <c r="H36" i="83"/>
  <c r="I36" i="83" s="1"/>
  <c r="H18" i="19"/>
  <c r="I18" i="19" s="1"/>
  <c r="F18" i="19"/>
  <c r="G18" i="19" s="1"/>
  <c r="H16" i="8"/>
  <c r="I16" i="8" s="1"/>
  <c r="I18" i="8" s="1"/>
  <c r="F16" i="8"/>
  <c r="F18" i="8" s="1"/>
  <c r="H38" i="16"/>
  <c r="I38" i="16" s="1"/>
  <c r="F38" i="16"/>
  <c r="G38" i="16" s="1"/>
  <c r="F18" i="25"/>
  <c r="G16" i="25"/>
  <c r="G18" i="25" s="1"/>
  <c r="H16" i="13"/>
  <c r="I16" i="13" s="1"/>
  <c r="I18" i="13" s="1"/>
  <c r="F16" i="13"/>
  <c r="F23" i="17"/>
  <c r="G23" i="17" s="1"/>
  <c r="F18" i="7"/>
  <c r="G16" i="7"/>
  <c r="G18" i="7" s="1"/>
  <c r="F19" i="12"/>
  <c r="G17" i="12"/>
  <c r="G19" i="12" s="1"/>
  <c r="H24" i="14"/>
  <c r="I24" i="14" s="1"/>
  <c r="F24" i="14"/>
  <c r="G24" i="14" s="1"/>
  <c r="F24" i="16"/>
  <c r="G24" i="16" s="1"/>
  <c r="H24" i="16"/>
  <c r="I24" i="16" s="1"/>
  <c r="H33" i="16"/>
  <c r="I33" i="16" s="1"/>
  <c r="F33" i="16"/>
  <c r="G33" i="16" s="1"/>
  <c r="F16" i="19"/>
  <c r="G16" i="19" s="1"/>
  <c r="H16" i="19"/>
  <c r="I16" i="19" s="1"/>
  <c r="F19" i="31"/>
  <c r="H16" i="44"/>
  <c r="I16" i="44" s="1"/>
  <c r="F16" i="44"/>
  <c r="G16" i="44" s="1"/>
  <c r="F29" i="80"/>
  <c r="G16" i="80"/>
  <c r="G29" i="80" s="1"/>
  <c r="G16" i="82"/>
  <c r="G18" i="82" s="1"/>
  <c r="F18" i="82"/>
  <c r="F31" i="32"/>
  <c r="G16" i="70"/>
  <c r="G21" i="70" s="1"/>
  <c r="F21" i="70"/>
  <c r="G30" i="71"/>
  <c r="H18" i="72"/>
  <c r="I18" i="72" s="1"/>
  <c r="F18" i="72"/>
  <c r="G18" i="72" s="1"/>
  <c r="F16" i="74"/>
  <c r="H16" i="74"/>
  <c r="I16" i="74" s="1"/>
  <c r="I18" i="74" s="1"/>
  <c r="F35" i="83"/>
  <c r="G35" i="83" s="1"/>
  <c r="H35" i="83"/>
  <c r="I35" i="83" s="1"/>
  <c r="H16" i="22"/>
  <c r="I16" i="22" s="1"/>
  <c r="I20" i="22" s="1"/>
  <c r="F18" i="30"/>
  <c r="F18" i="40"/>
  <c r="G16" i="51"/>
  <c r="G18" i="51" s="1"/>
  <c r="G16" i="62"/>
  <c r="G18" i="62" s="1"/>
  <c r="F18" i="62"/>
  <c r="I21" i="70"/>
  <c r="H17" i="72"/>
  <c r="I17" i="72" s="1"/>
  <c r="G19" i="79"/>
  <c r="F25" i="67"/>
  <c r="G16" i="67"/>
  <c r="G25" i="67" s="1"/>
  <c r="F31" i="83"/>
  <c r="G31" i="83" s="1"/>
  <c r="H31" i="83"/>
  <c r="I31" i="83" s="1"/>
  <c r="I19" i="31"/>
  <c r="F25" i="50"/>
  <c r="I29" i="80"/>
  <c r="I33" i="28"/>
  <c r="F17" i="35"/>
  <c r="G17" i="35" s="1"/>
  <c r="F16" i="45"/>
  <c r="G16" i="45" s="1"/>
  <c r="G16" i="53"/>
  <c r="G18" i="53" s="1"/>
  <c r="F18" i="53"/>
  <c r="F18" i="57"/>
  <c r="H20" i="83"/>
  <c r="I20" i="83" s="1"/>
  <c r="F19" i="46"/>
  <c r="I19" i="46"/>
  <c r="I49" i="48"/>
  <c r="I30" i="71"/>
  <c r="G16" i="76"/>
  <c r="G18" i="76" s="1"/>
  <c r="G19" i="58"/>
  <c r="I19" i="79"/>
  <c r="I23" i="81"/>
  <c r="F28" i="1"/>
  <c r="G28" i="1"/>
  <c r="I28" i="1"/>
  <c r="H16" i="20"/>
  <c r="I16" i="20" s="1"/>
  <c r="I19" i="20" s="1"/>
  <c r="F16" i="20"/>
  <c r="I47" i="66"/>
  <c r="H37" i="83"/>
  <c r="I37" i="83" s="1"/>
  <c r="F37" i="83"/>
  <c r="G37" i="83" s="1"/>
  <c r="G16" i="5"/>
  <c r="H20" i="14"/>
  <c r="I20" i="14" s="1"/>
  <c r="F20" i="14"/>
  <c r="G20" i="14" s="1"/>
  <c r="H41" i="16"/>
  <c r="I41" i="16" s="1"/>
  <c r="F23" i="52"/>
  <c r="G17" i="52"/>
  <c r="G23" i="52" s="1"/>
  <c r="I27" i="78"/>
  <c r="G16" i="2"/>
  <c r="G18" i="2" s="1"/>
  <c r="F18" i="3"/>
  <c r="H16" i="14"/>
  <c r="I16" i="14" s="1"/>
  <c r="F16" i="14"/>
  <c r="G16" i="16"/>
  <c r="H17" i="17"/>
  <c r="I17" i="17" s="1"/>
  <c r="F17" i="17"/>
  <c r="H17" i="19"/>
  <c r="I17" i="19" s="1"/>
  <c r="F17" i="19"/>
  <c r="G17" i="19" s="1"/>
  <c r="I28" i="29"/>
  <c r="G23" i="36"/>
  <c r="F16" i="38"/>
  <c r="F22" i="43"/>
  <c r="G22" i="43" s="1"/>
  <c r="F16" i="49"/>
  <c r="H16" i="49"/>
  <c r="I16" i="49" s="1"/>
  <c r="I19" i="49" s="1"/>
  <c r="I26" i="55"/>
  <c r="F26" i="55"/>
  <c r="I21" i="63"/>
  <c r="I21" i="69"/>
  <c r="I19" i="77"/>
  <c r="G16" i="18"/>
  <c r="G18" i="18" s="1"/>
  <c r="F18" i="18"/>
  <c r="H17" i="23"/>
  <c r="I17" i="23" s="1"/>
  <c r="I27" i="23" s="1"/>
  <c r="F17" i="23"/>
  <c r="I31" i="32"/>
  <c r="F25" i="43"/>
  <c r="G25" i="43" s="1"/>
  <c r="H25" i="43"/>
  <c r="I25" i="43" s="1"/>
  <c r="F17" i="5"/>
  <c r="G17" i="5" s="1"/>
  <c r="G30" i="66"/>
  <c r="G47" i="66" s="1"/>
  <c r="F47" i="66"/>
  <c r="F21" i="69"/>
  <c r="G16" i="69"/>
  <c r="G21" i="69" s="1"/>
  <c r="G16" i="77"/>
  <c r="G19" i="77" s="1"/>
  <c r="F19" i="77"/>
  <c r="H19" i="14"/>
  <c r="I19" i="14" s="1"/>
  <c r="F19" i="16"/>
  <c r="G19" i="16" s="1"/>
  <c r="H19" i="19"/>
  <c r="I19" i="19" s="1"/>
  <c r="F18" i="22"/>
  <c r="G18" i="22" s="1"/>
  <c r="G16" i="22"/>
  <c r="H17" i="26"/>
  <c r="I17" i="26" s="1"/>
  <c r="F17" i="26"/>
  <c r="G31" i="32"/>
  <c r="G16" i="35"/>
  <c r="F23" i="36"/>
  <c r="F17" i="43"/>
  <c r="F16" i="42"/>
  <c r="H24" i="43"/>
  <c r="I24" i="43" s="1"/>
  <c r="F24" i="43"/>
  <c r="G24" i="43" s="1"/>
  <c r="F49" i="48"/>
  <c r="G16" i="48"/>
  <c r="G49" i="48" s="1"/>
  <c r="H18" i="56"/>
  <c r="I18" i="56" s="1"/>
  <c r="F18" i="56"/>
  <c r="G18" i="56" s="1"/>
  <c r="G21" i="63"/>
  <c r="G16" i="65"/>
  <c r="G35" i="73"/>
  <c r="F35" i="73"/>
  <c r="I35" i="73"/>
  <c r="F18" i="75"/>
  <c r="G16" i="75"/>
  <c r="G18" i="75" s="1"/>
  <c r="G25" i="50"/>
  <c r="F19" i="58"/>
  <c r="F16" i="64"/>
  <c r="H16" i="64"/>
  <c r="I16" i="64" s="1"/>
  <c r="H17" i="44"/>
  <c r="I17" i="44" s="1"/>
  <c r="F17" i="44"/>
  <c r="I23" i="52"/>
  <c r="I19" i="58"/>
  <c r="G16" i="60"/>
  <c r="G18" i="60" s="1"/>
  <c r="F18" i="60"/>
  <c r="H18" i="83"/>
  <c r="I18" i="83" s="1"/>
  <c r="F18" i="83"/>
  <c r="F30" i="71"/>
  <c r="G27" i="78"/>
  <c r="H28" i="83"/>
  <c r="I28" i="83" s="1"/>
  <c r="F28" i="83"/>
  <c r="G28" i="83" s="1"/>
  <c r="I25" i="67"/>
  <c r="G16" i="81"/>
  <c r="G23" i="81" s="1"/>
  <c r="F23" i="81"/>
  <c r="H32" i="83"/>
  <c r="I32" i="83" s="1"/>
  <c r="F32" i="83"/>
  <c r="G32" i="83" s="1"/>
  <c r="F19" i="21" l="1"/>
  <c r="I26" i="5"/>
  <c r="G23" i="65"/>
  <c r="G16" i="28"/>
  <c r="G33" i="28" s="1"/>
  <c r="G20" i="56"/>
  <c r="F20" i="56"/>
  <c r="I20" i="64"/>
  <c r="G16" i="27"/>
  <c r="G19" i="27" s="1"/>
  <c r="G16" i="4"/>
  <c r="G18" i="4" s="1"/>
  <c r="I27" i="17"/>
  <c r="G16" i="8"/>
  <c r="G18" i="8" s="1"/>
  <c r="F23" i="65"/>
  <c r="I19" i="44"/>
  <c r="G23" i="72"/>
  <c r="F23" i="72"/>
  <c r="G21" i="45"/>
  <c r="I19" i="26"/>
  <c r="F28" i="29"/>
  <c r="F21" i="45"/>
  <c r="I23" i="72"/>
  <c r="I23" i="65"/>
  <c r="I29" i="43"/>
  <c r="I20" i="56"/>
  <c r="I21" i="19"/>
  <c r="F18" i="37"/>
  <c r="G16" i="37"/>
  <c r="G18" i="37" s="1"/>
  <c r="F19" i="35"/>
  <c r="I43" i="16"/>
  <c r="G20" i="22"/>
  <c r="I28" i="14"/>
  <c r="F18" i="74"/>
  <c r="G16" i="74"/>
  <c r="G18" i="74" s="1"/>
  <c r="G19" i="35"/>
  <c r="G21" i="19"/>
  <c r="I38" i="83"/>
  <c r="F20" i="22"/>
  <c r="F18" i="13"/>
  <c r="G16" i="13"/>
  <c r="G18" i="13" s="1"/>
  <c r="F18" i="42"/>
  <c r="G16" i="42"/>
  <c r="G18" i="42" s="1"/>
  <c r="F18" i="38"/>
  <c r="G16" i="38"/>
  <c r="G18" i="38" s="1"/>
  <c r="F43" i="16"/>
  <c r="G18" i="83"/>
  <c r="G38" i="83" s="1"/>
  <c r="F38" i="83"/>
  <c r="G17" i="26"/>
  <c r="G19" i="26" s="1"/>
  <c r="F19" i="26"/>
  <c r="G43" i="16"/>
  <c r="G26" i="5"/>
  <c r="G17" i="43"/>
  <c r="G29" i="43" s="1"/>
  <c r="F29" i="43"/>
  <c r="G17" i="44"/>
  <c r="G19" i="44" s="1"/>
  <c r="F19" i="44"/>
  <c r="F20" i="64"/>
  <c r="G16" i="64"/>
  <c r="G20" i="64" s="1"/>
  <c r="G17" i="23"/>
  <c r="G27" i="23" s="1"/>
  <c r="F27" i="23"/>
  <c r="G16" i="49"/>
  <c r="G19" i="49" s="1"/>
  <c r="F19" i="49"/>
  <c r="F27" i="17"/>
  <c r="G17" i="17"/>
  <c r="G27" i="17" s="1"/>
  <c r="G16" i="14"/>
  <c r="G28" i="14" s="1"/>
  <c r="F28" i="14"/>
  <c r="F19" i="20"/>
  <c r="G16" i="20"/>
  <c r="G19" i="20" s="1"/>
  <c r="F21" i="19"/>
  <c r="F26" i="5"/>
  <c r="I18" i="229"/>
  <c r="I24" i="229" s="1"/>
</calcChain>
</file>

<file path=xl/sharedStrings.xml><?xml version="1.0" encoding="utf-8"?>
<sst xmlns="http://schemas.openxmlformats.org/spreadsheetml/2006/main" count="18186" uniqueCount="2362">
  <si>
    <t>Corporate Office:</t>
  </si>
  <si>
    <t>FB-11, First Floor, Techno City Mall</t>
  </si>
  <si>
    <t>Hasrat Mohani Road, Karachi</t>
  </si>
  <si>
    <t>Sales Tax Invoice</t>
  </si>
  <si>
    <t>NTN No.</t>
  </si>
  <si>
    <t>1440525-3</t>
  </si>
  <si>
    <t>GST No.</t>
  </si>
  <si>
    <t>3277876112895</t>
  </si>
  <si>
    <t xml:space="preserve">Ref. No. </t>
  </si>
  <si>
    <t xml:space="preserve">Customer Name : </t>
  </si>
  <si>
    <t>ICMAP</t>
  </si>
  <si>
    <t>Customer Address :</t>
  </si>
  <si>
    <t>NTN 1513591-8</t>
  </si>
  <si>
    <t>S. 
No.</t>
  </si>
  <si>
    <t>Item Name</t>
  </si>
  <si>
    <t>Unit</t>
  </si>
  <si>
    <t>Qty.</t>
  </si>
  <si>
    <t>Sale Unit
Price</t>
  </si>
  <si>
    <t>Amount</t>
  </si>
  <si>
    <t>GST Amount</t>
  </si>
  <si>
    <t>Unit
Price
with GST</t>
  </si>
  <si>
    <t>Amount Include all Taxes</t>
  </si>
  <si>
    <t>Remarks</t>
  </si>
  <si>
    <t>Pcs</t>
  </si>
  <si>
    <t>Grand Total</t>
  </si>
  <si>
    <t>Others Terms &amp; Conditions:</t>
  </si>
  <si>
    <t>1. Delivery will be made after receiving of Purchase order within 8 days, Good will not be returned after acceptance of delivery.</t>
  </si>
  <si>
    <t>2. Payments terms will be 15 Days after receiving of invoice.</t>
  </si>
  <si>
    <t>_____________________</t>
  </si>
  <si>
    <t>Prepared By:</t>
  </si>
  <si>
    <t>Approved By:</t>
  </si>
  <si>
    <t xml:space="preserve">Ph: +92-21-32277116, 0321-2090558  </t>
  </si>
  <si>
    <t>info@corporatesupplies.com.pk</t>
  </si>
  <si>
    <t xml:space="preserve">ICMAP Building, St-18/C, Icmap Avenue, </t>
  </si>
  <si>
    <t>Block 6, Gulshan-e-Iqbal, Karachi</t>
  </si>
  <si>
    <t>Invoice Date : 2nd January 2017</t>
  </si>
  <si>
    <t>Invoice No. : Corp-SInv-0117-01</t>
  </si>
  <si>
    <t>Ball Pen - Signature - Blue</t>
  </si>
  <si>
    <t>Ball Pen - Signature - Black</t>
  </si>
  <si>
    <t>Register - 200 Pages</t>
  </si>
  <si>
    <t>Tissue Box</t>
  </si>
  <si>
    <t>Seperator</t>
  </si>
  <si>
    <t>Flags</t>
  </si>
  <si>
    <t xml:space="preserve">Room Spray </t>
  </si>
  <si>
    <t>Stapler Machine</t>
  </si>
  <si>
    <t>Steel Scale 12"</t>
  </si>
  <si>
    <t>DVD</t>
  </si>
  <si>
    <t>CD-R</t>
  </si>
  <si>
    <r>
      <t xml:space="preserve">In Words : </t>
    </r>
    <r>
      <rPr>
        <sz val="10"/>
        <color theme="1"/>
        <rFont val="Calibri"/>
        <family val="2"/>
        <scheme val="minor"/>
      </rPr>
      <t>Nineteen Thousand One Hundred and Eighty Nine Only</t>
    </r>
  </si>
  <si>
    <t>Invoice No. : Corp-SInv-0117-02</t>
  </si>
  <si>
    <t>Invoice Date : 3rd January 2017</t>
  </si>
  <si>
    <t>First Credit Investment Bank Ltd</t>
  </si>
  <si>
    <t>Karachi</t>
  </si>
  <si>
    <t>2nd Floor, Sidco Avenue, Centre, Stretchen Road,</t>
  </si>
  <si>
    <t>NTN 0698131-3</t>
  </si>
  <si>
    <t>PaperOne Brand A4 Size Paper
70gram</t>
  </si>
  <si>
    <t>Rims</t>
  </si>
  <si>
    <r>
      <t xml:space="preserve">In Words : </t>
    </r>
    <r>
      <rPr>
        <sz val="10"/>
        <color theme="1"/>
        <rFont val="Calibri"/>
        <family val="2"/>
        <scheme val="minor"/>
      </rPr>
      <t>Nine Thousand One Hundred and Twenty Five Only.</t>
    </r>
  </si>
  <si>
    <t>Panasonic KX-TS500 - Integrated Corded Phone System</t>
  </si>
  <si>
    <r>
      <t xml:space="preserve">In Words : </t>
    </r>
    <r>
      <rPr>
        <sz val="10"/>
        <color theme="1"/>
        <rFont val="Calibri"/>
        <family val="2"/>
        <scheme val="minor"/>
      </rPr>
      <t>One Thousand Six Hundred and Thirty Eight Only.</t>
    </r>
  </si>
  <si>
    <t>Invoice No. : Corp-SInv-0117-03</t>
  </si>
  <si>
    <t>Invoice Date : 13th January 2017</t>
  </si>
  <si>
    <t>Invoice Date : 18th January 2017</t>
  </si>
  <si>
    <t>Invoice No. : Corp-SInv-0117-04</t>
  </si>
  <si>
    <t>PO No. 9418</t>
  </si>
  <si>
    <t>Paper Rim - AA Brand 80 Gram</t>
  </si>
  <si>
    <r>
      <t xml:space="preserve">In Words : </t>
    </r>
    <r>
      <rPr>
        <sz val="10"/>
        <color theme="1"/>
        <rFont val="Calibri"/>
        <family val="2"/>
        <scheme val="minor"/>
      </rPr>
      <t>Twenty Four Thousand Seven Hundred and Fifty Only.</t>
    </r>
  </si>
  <si>
    <t>Box File - Korona</t>
  </si>
  <si>
    <t>Cut Box File</t>
  </si>
  <si>
    <t>Pencil</t>
  </si>
  <si>
    <t>Stapler Remover</t>
  </si>
  <si>
    <t>Tissue Roll</t>
  </si>
  <si>
    <t>Paper Cutter</t>
  </si>
  <si>
    <t>Color Paper (Green)</t>
  </si>
  <si>
    <t>Rope</t>
  </si>
  <si>
    <t>Signature Flags</t>
  </si>
  <si>
    <t>Packet</t>
  </si>
  <si>
    <t>Invoice No. : Corp-SInv-0117-05</t>
  </si>
  <si>
    <t>PO No. 9417</t>
  </si>
  <si>
    <r>
      <t xml:space="preserve">In Words : </t>
    </r>
    <r>
      <rPr>
        <sz val="10"/>
        <color theme="1"/>
        <rFont val="Calibri"/>
        <family val="2"/>
        <scheme val="minor"/>
      </rPr>
      <t>Thirty Nine Thousand Six Hundred Only.</t>
    </r>
  </si>
  <si>
    <t>Invoice No. : Corp-SInv-0117-06</t>
  </si>
  <si>
    <t>Invoice Date : 20th January 2017</t>
  </si>
  <si>
    <t>PO No. 9428</t>
  </si>
  <si>
    <t>Invoice No. : Corp-SInv-0117-07</t>
  </si>
  <si>
    <t>PO No. 9425</t>
  </si>
  <si>
    <t>Invoice No. : Corp-SInv-0117-08</t>
  </si>
  <si>
    <t>PO No. 9420</t>
  </si>
  <si>
    <t>Sticker Flag (Different Colours)</t>
  </si>
  <si>
    <r>
      <t xml:space="preserve">In Words : </t>
    </r>
    <r>
      <rPr>
        <sz val="10"/>
        <color theme="1"/>
        <rFont val="Calibri"/>
        <family val="2"/>
        <scheme val="minor"/>
      </rPr>
      <t>Two Thousand One Hundred Only.</t>
    </r>
  </si>
  <si>
    <t>Invoice Date : 23rd January 2017</t>
  </si>
  <si>
    <t>Invoice No. : Corp-SInv-0117-09</t>
  </si>
  <si>
    <t>PO 9437</t>
  </si>
  <si>
    <r>
      <t xml:space="preserve">In Words : </t>
    </r>
    <r>
      <rPr>
        <sz val="10"/>
        <color theme="1"/>
        <rFont val="Calibri"/>
        <family val="2"/>
        <scheme val="minor"/>
      </rPr>
      <t>Three Thousand Two Hundred and Seventy Six Only.</t>
    </r>
  </si>
  <si>
    <t>Invoice No. : Corp-SInv-0117-10</t>
  </si>
  <si>
    <t>Invoice Date : 28th January 2017</t>
  </si>
  <si>
    <t>Invoice No. : Corp-SInv-0117-11</t>
  </si>
  <si>
    <t>Table Calenders (Slips)</t>
  </si>
  <si>
    <r>
      <t xml:space="preserve">In Words : </t>
    </r>
    <r>
      <rPr>
        <sz val="10"/>
        <color theme="1"/>
        <rFont val="Calibri"/>
        <family val="2"/>
        <scheme val="minor"/>
      </rPr>
      <t>Three Thousand Five Hundred Only.</t>
    </r>
  </si>
  <si>
    <t>Scotch Tape - 2"</t>
  </si>
  <si>
    <t>Masking Tape - 2"</t>
  </si>
  <si>
    <r>
      <t xml:space="preserve">In Words : </t>
    </r>
    <r>
      <rPr>
        <sz val="10"/>
        <color theme="1"/>
        <rFont val="Calibri"/>
        <family val="2"/>
        <scheme val="minor"/>
      </rPr>
      <t>Four Thousand Five Hundred Only.</t>
    </r>
  </si>
  <si>
    <t>Invoice No. : Corp-SInv-0117-12</t>
  </si>
  <si>
    <t>Invoice No. : Corp-SInv-0217-01</t>
  </si>
  <si>
    <t>Invoice Date : 3rd February 2017</t>
  </si>
  <si>
    <t>Hi-Tech Lubricants Limited</t>
  </si>
  <si>
    <t>C-6/1, Street no. 3, Bath Island</t>
  </si>
  <si>
    <t>Clifton Karachi</t>
  </si>
  <si>
    <t>NTN - 1017895-3 GST - 03919941773</t>
  </si>
  <si>
    <t xml:space="preserve">Paper Rim - PaperOne Brand - 75gm - A4 Size </t>
  </si>
  <si>
    <r>
      <t xml:space="preserve">In Words : </t>
    </r>
    <r>
      <rPr>
        <sz val="10"/>
        <color theme="1"/>
        <rFont val="Calibri"/>
        <family val="2"/>
        <scheme val="minor"/>
      </rPr>
      <t>Seven Thousand Six Hundred Only.</t>
    </r>
  </si>
  <si>
    <t>Invoice No. : Corp-SInv-0217-02</t>
  </si>
  <si>
    <t>Invoice Date : 14th February 2017</t>
  </si>
  <si>
    <t>Calculator MJ-120+</t>
  </si>
  <si>
    <t>Toshiba Cell AA</t>
  </si>
  <si>
    <t>Tisssue Box</t>
  </si>
  <si>
    <t>Register 200 Pages</t>
  </si>
  <si>
    <t>Abro Tape</t>
  </si>
  <si>
    <t>Masking Tape</t>
  </si>
  <si>
    <t>Opener for Envelop</t>
  </si>
  <si>
    <t>Executive Box File</t>
  </si>
  <si>
    <t>Dust Bin</t>
  </si>
  <si>
    <t>Pen Holder</t>
  </si>
  <si>
    <t>Liquid Gum Dollar 1 Liter</t>
  </si>
  <si>
    <r>
      <t xml:space="preserve">In Words : </t>
    </r>
    <r>
      <rPr>
        <sz val="10"/>
        <color theme="1"/>
        <rFont val="Calibri"/>
        <family val="2"/>
        <scheme val="minor"/>
      </rPr>
      <t>Twenty One Thousand Five Hundred and Fifty Six Only.</t>
    </r>
  </si>
  <si>
    <r>
      <t xml:space="preserve">In Words : </t>
    </r>
    <r>
      <rPr>
        <sz val="10"/>
        <color theme="1"/>
        <rFont val="Calibri"/>
        <family val="2"/>
        <scheme val="minor"/>
      </rPr>
      <t>Sixteen Thousand Two Hundred and Six Only.</t>
    </r>
  </si>
  <si>
    <t>Invoice No. : Corp-SInv-0317-01</t>
  </si>
  <si>
    <t>Invoice Date : 6th March 2017</t>
  </si>
  <si>
    <t>DHL Pakistan Pvt. Ltd</t>
  </si>
  <si>
    <t>Air Port , Karachi Pakistan</t>
  </si>
  <si>
    <t>NTN No. 0816259-0, GST # 12-00-9808-004-37</t>
  </si>
  <si>
    <t>Ball Pen - Parker Brand 0.7 - Blue Colour</t>
  </si>
  <si>
    <t>Ball Pen - Parker Brand 0.7 - Black Colour</t>
  </si>
  <si>
    <r>
      <t xml:space="preserve">In Words : </t>
    </r>
    <r>
      <rPr>
        <sz val="10"/>
        <color theme="1"/>
        <rFont val="Calibri"/>
        <family val="2"/>
        <scheme val="minor"/>
      </rPr>
      <t>Seven Hundred and Thirty Only</t>
    </r>
  </si>
  <si>
    <t>Invoice No. : Corp-SInv-0317-02</t>
  </si>
  <si>
    <t>Sindh Education Foundation</t>
  </si>
  <si>
    <t>Plot no. 21A, Block-7/8, Overseas Housing Society, Ameer Khusro Road</t>
  </si>
  <si>
    <t>Karachi Pakistan</t>
  </si>
  <si>
    <t>NTN 9030416-7</t>
  </si>
  <si>
    <t>SEF/PPRS/R/133/2016-17</t>
  </si>
  <si>
    <t>Pointer Dollar Blue</t>
  </si>
  <si>
    <t>Stapler STRD (Deli-400)</t>
  </si>
  <si>
    <t>Stapler Pins Small (20Pkt Box)</t>
  </si>
  <si>
    <t>Packing Tape 3"</t>
  </si>
  <si>
    <t>Squash Tape 3"</t>
  </si>
  <si>
    <t>Highlighter Yellow</t>
  </si>
  <si>
    <t>Box File Standard</t>
  </si>
  <si>
    <t>Pencil with Eraser</t>
  </si>
  <si>
    <t>Calculator Dual System</t>
  </si>
  <si>
    <t>Board Markers Dollar</t>
  </si>
  <si>
    <t>Permanent Marker Dollar</t>
  </si>
  <si>
    <t>Paper A4 Size 80 Gram AA</t>
  </si>
  <si>
    <t>Paper Legal Size 80 Gram AA</t>
  </si>
  <si>
    <t>UHU Sticks (Dollar)</t>
  </si>
  <si>
    <t>Whito Steadler / Pelikan</t>
  </si>
  <si>
    <t>File Seperator (Coloured)</t>
  </si>
  <si>
    <t>Ball Pen Blue Picasso Cloud</t>
  </si>
  <si>
    <t>Envelopes (White) A4 Size</t>
  </si>
  <si>
    <t>Envelopes (Brown) A4 Size</t>
  </si>
  <si>
    <t>Envelop Large Size 9x4</t>
  </si>
  <si>
    <t>Paper Files (Standard Quality)</t>
  </si>
  <si>
    <t>Punch Machine (Opal) Small</t>
  </si>
  <si>
    <t>Toner HP Laser P2015(53A)</t>
  </si>
  <si>
    <t>Toner HP Laser P2055(05A)</t>
  </si>
  <si>
    <t>Flags Multi Colour</t>
  </si>
  <si>
    <t>Note Book Alba (Large)</t>
  </si>
  <si>
    <t>Box</t>
  </si>
  <si>
    <t>Set</t>
  </si>
  <si>
    <r>
      <t xml:space="preserve">In Words : </t>
    </r>
    <r>
      <rPr>
        <sz val="10"/>
        <color theme="1"/>
        <rFont val="Calibri"/>
        <family val="2"/>
        <scheme val="minor"/>
      </rPr>
      <t>One Hundred Fifty Nine Thousand and Twenty Eight Only</t>
    </r>
  </si>
  <si>
    <t>Invoice No. : Corp-SInv-0317-03</t>
  </si>
  <si>
    <t>Invoice Date : 11th March 2017</t>
  </si>
  <si>
    <t>Room Spray - Perfect</t>
  </si>
  <si>
    <t>Rough Pad - Large</t>
  </si>
  <si>
    <t>Doc. Clip 1 Inch</t>
  </si>
  <si>
    <t>Pointer</t>
  </si>
  <si>
    <t>Cut Marker Dollar</t>
  </si>
  <si>
    <t>Tape Dispenser</t>
  </si>
  <si>
    <t>Mortein Spray</t>
  </si>
  <si>
    <t>File Seperator</t>
  </si>
  <si>
    <t>Ball Pen</t>
  </si>
  <si>
    <r>
      <t xml:space="preserve">In Words : </t>
    </r>
    <r>
      <rPr>
        <sz val="10"/>
        <color theme="1"/>
        <rFont val="Calibri"/>
        <family val="2"/>
        <scheme val="minor"/>
      </rPr>
      <t>Fourteen Thousand Eight Hundred and Seventy Seven</t>
    </r>
  </si>
  <si>
    <t>Invoice No. : Corp-SInv-0317-04</t>
  </si>
  <si>
    <t>PO 9504</t>
  </si>
  <si>
    <t>PO 9500</t>
  </si>
  <si>
    <t>Visiting Card Alhum 800 Pcs</t>
  </si>
  <si>
    <r>
      <t xml:space="preserve">In Words : </t>
    </r>
    <r>
      <rPr>
        <sz val="10"/>
        <color theme="1"/>
        <rFont val="Calibri"/>
        <family val="2"/>
        <scheme val="minor"/>
      </rPr>
      <t>Seven Hundred and Two Only</t>
    </r>
  </si>
  <si>
    <t>Invoice No. : Corp-SInv-0317-05</t>
  </si>
  <si>
    <t>Invoice Date : 17th March 2017</t>
  </si>
  <si>
    <t>SEF/PPRS/R/144/2016-17</t>
  </si>
  <si>
    <t>Tissue Box Rose Petal</t>
  </si>
  <si>
    <t>Room Freshner Perfect</t>
  </si>
  <si>
    <t>Tissue Roll Rose Petal</t>
  </si>
  <si>
    <t>Hand Sanitizer</t>
  </si>
  <si>
    <t>Bottle</t>
  </si>
  <si>
    <t>Roll</t>
  </si>
  <si>
    <r>
      <t xml:space="preserve">In Words : </t>
    </r>
    <r>
      <rPr>
        <sz val="10"/>
        <color theme="1"/>
        <rFont val="Calibri"/>
        <family val="2"/>
        <scheme val="minor"/>
      </rPr>
      <t>Fifteen Thousand Seven Hundred and Twenty Five Only</t>
    </r>
  </si>
  <si>
    <t>Invoice Date : 27th March 2017</t>
  </si>
  <si>
    <t>Screw Driver (Standard)</t>
  </si>
  <si>
    <t>Bull Nose Plier</t>
  </si>
  <si>
    <r>
      <t xml:space="preserve">In Words : </t>
    </r>
    <r>
      <rPr>
        <sz val="10"/>
        <color theme="1"/>
        <rFont val="Calibri"/>
        <family val="2"/>
        <scheme val="minor"/>
      </rPr>
      <t>One Thousand and Fifty Three Only</t>
    </r>
  </si>
  <si>
    <t>Invoice No. : Corp-SInv-0317-07</t>
  </si>
  <si>
    <t>Invoice No. : Corp-SInv-0317-06</t>
  </si>
  <si>
    <t>Invoice No. : Corp-SInv-0317-08</t>
  </si>
  <si>
    <t>SEF/PPRS/R/153/2016-17</t>
  </si>
  <si>
    <t>Tissue Rose Petal Large</t>
  </si>
  <si>
    <t>Mortein Spray Large</t>
  </si>
  <si>
    <t>Room Spray Large</t>
  </si>
  <si>
    <r>
      <t xml:space="preserve">In Words : </t>
    </r>
    <r>
      <rPr>
        <sz val="10"/>
        <color theme="1"/>
        <rFont val="Calibri"/>
        <family val="2"/>
        <scheme val="minor"/>
      </rPr>
      <t>One Thousand Seven Hundred and Fourty Seven Only.</t>
    </r>
  </si>
  <si>
    <t>Invoice No. : Corp-SInv-0317-09</t>
  </si>
  <si>
    <t>Clipper Ball (Blue &amp; Black)</t>
  </si>
  <si>
    <t>Stapler Pin 24/6</t>
  </si>
  <si>
    <t>Thumb Pin</t>
  </si>
  <si>
    <t>Scotch Tape 1"</t>
  </si>
  <si>
    <t>Sticky Flags</t>
  </si>
  <si>
    <t>Permanent Marker</t>
  </si>
  <si>
    <t>Stamp Pad</t>
  </si>
  <si>
    <t>UHU Gum Stick - 40gram</t>
  </si>
  <si>
    <t xml:space="preserve">Paper Rim - PaperOne Brand - 70gm - F4 Size </t>
  </si>
  <si>
    <r>
      <t xml:space="preserve">In Words : </t>
    </r>
    <r>
      <rPr>
        <sz val="10"/>
        <color theme="1"/>
        <rFont val="Calibri"/>
        <family val="2"/>
        <scheme val="minor"/>
      </rPr>
      <t>Eight Thousand Only.</t>
    </r>
  </si>
  <si>
    <r>
      <t xml:space="preserve">In Words : </t>
    </r>
    <r>
      <rPr>
        <sz val="10"/>
        <color theme="1"/>
        <rFont val="Calibri"/>
        <family val="2"/>
        <scheme val="minor"/>
      </rPr>
      <t>Fifteen Thousand Nine Hundred and Thirty Only</t>
    </r>
  </si>
  <si>
    <t>Invoice Date : 15th April 2017</t>
  </si>
  <si>
    <t>Invoice No. : Corp-SInv-0417-01</t>
  </si>
  <si>
    <t>PO 9544</t>
  </si>
  <si>
    <r>
      <t xml:space="preserve">In Words : </t>
    </r>
    <r>
      <rPr>
        <sz val="10"/>
        <color theme="1"/>
        <rFont val="Calibri"/>
        <family val="2"/>
        <scheme val="minor"/>
      </rPr>
      <t>Three Thousand Eight Hundred and Sixty One Only</t>
    </r>
  </si>
  <si>
    <t>Invoice No. : Corp-SInv-0417-02</t>
  </si>
  <si>
    <t>Invoice Date : 18th April 2017</t>
  </si>
  <si>
    <t>Panasonic KX-TS500 - Integrated</t>
  </si>
  <si>
    <r>
      <t xml:space="preserve">In Words : </t>
    </r>
    <r>
      <rPr>
        <sz val="10"/>
        <color theme="1"/>
        <rFont val="Calibri"/>
        <family val="2"/>
        <scheme val="minor"/>
      </rPr>
      <t>One Thousand Seven Hundred and Fifty Five Only</t>
    </r>
  </si>
  <si>
    <t>Invoice No. : Corp-SInv-0517-01</t>
  </si>
  <si>
    <t>Invoice Date : 5th May 2017</t>
  </si>
  <si>
    <t>SEF/Admin/R/202/2016-17</t>
  </si>
  <si>
    <t>Drill Machine HD Black &amp; Decker</t>
  </si>
  <si>
    <t>Drill Machine Normal</t>
  </si>
  <si>
    <r>
      <t xml:space="preserve">In Words : </t>
    </r>
    <r>
      <rPr>
        <sz val="10"/>
        <color theme="1"/>
        <rFont val="Calibri"/>
        <family val="2"/>
        <scheme val="minor"/>
      </rPr>
      <t>Ten Thousand Four Hundred and Seventy Two Only.</t>
    </r>
  </si>
  <si>
    <t>Invoice No. : Corp-SInv-0517-02</t>
  </si>
  <si>
    <t>Invoice Date : 10th May 2017</t>
  </si>
  <si>
    <r>
      <t xml:space="preserve">In Words : </t>
    </r>
    <r>
      <rPr>
        <sz val="10"/>
        <color theme="1"/>
        <rFont val="Calibri"/>
        <family val="2"/>
        <scheme val="minor"/>
      </rPr>
      <t>Eight Thousand Four Hundred Only.</t>
    </r>
  </si>
  <si>
    <t>Invoice Date : 13th May 2017</t>
  </si>
  <si>
    <t>PO 9576 &amp; 77</t>
  </si>
  <si>
    <t>Uni Ball Signature Pen</t>
  </si>
  <si>
    <t>Highlighter Dollar</t>
  </si>
  <si>
    <t>UHU Gum Stick 40gram</t>
  </si>
  <si>
    <t>Tissue Box PopUp</t>
  </si>
  <si>
    <t>Tissue Toilet Roll</t>
  </si>
  <si>
    <t>Room Spray Perfect</t>
  </si>
  <si>
    <t>Duster Cloth</t>
  </si>
  <si>
    <t>Staples Pin Small Dollar</t>
  </si>
  <si>
    <t>DVD-R Song Original</t>
  </si>
  <si>
    <t>Wirting Pad - Large</t>
  </si>
  <si>
    <t>Register 200 pages</t>
  </si>
  <si>
    <t>Calculator Original Casio MJ120D+</t>
  </si>
  <si>
    <t xml:space="preserve">Executive Box File </t>
  </si>
  <si>
    <t>Legal Paper Green Packet</t>
  </si>
  <si>
    <r>
      <t xml:space="preserve">In Words : </t>
    </r>
    <r>
      <rPr>
        <sz val="10"/>
        <color theme="1"/>
        <rFont val="Calibri"/>
        <family val="2"/>
        <scheme val="minor"/>
      </rPr>
      <t>Thirty Five Thousand Five Hundred and Twenty One Only</t>
    </r>
  </si>
  <si>
    <t>Invoice Date : 16th May 2017</t>
  </si>
  <si>
    <t>PO E-283-2017</t>
  </si>
  <si>
    <t>Survey # 137, Jinnah Internationl Airport</t>
  </si>
  <si>
    <t>NTN 0816259-0, GST 12-00-9808-004-37</t>
  </si>
  <si>
    <t>Box File - Korona Brand</t>
  </si>
  <si>
    <t>Plastic Scale 12"</t>
  </si>
  <si>
    <t>Measurement Tap (Closed Reel)</t>
  </si>
  <si>
    <t>Staple Pin Remover</t>
  </si>
  <si>
    <t>Eraser Pelikan Brand</t>
  </si>
  <si>
    <t>Stapler Pin Heavy Duty 23/17
Washing Brand 10  Pcs Packet</t>
  </si>
  <si>
    <t>Gem Clip 36mm (10 Pcs each Box)</t>
  </si>
  <si>
    <t>Gem Clip 50mm (10 Pcs each Box)</t>
  </si>
  <si>
    <t>Plastic Folder L Shape (12 Pcs Packet )</t>
  </si>
  <si>
    <t>Clipper Ball Pen (Blue) 200 Packet Carton</t>
  </si>
  <si>
    <t>Paper Rim - A3 Size 80 Gram PaperOne Brand</t>
  </si>
  <si>
    <t>Carton</t>
  </si>
  <si>
    <t>Rim</t>
  </si>
  <si>
    <r>
      <t xml:space="preserve">In Words : </t>
    </r>
    <r>
      <rPr>
        <sz val="10"/>
        <color theme="1"/>
        <rFont val="Calibri"/>
        <family val="2"/>
        <scheme val="minor"/>
      </rPr>
      <t>Ninety Thousand One Hundred and Fourty Only</t>
    </r>
  </si>
  <si>
    <t>Invoice Date : 18th May 2017</t>
  </si>
  <si>
    <t>A4 Size Seperator 1-10 Tabs</t>
  </si>
  <si>
    <t>Sets</t>
  </si>
  <si>
    <r>
      <t xml:space="preserve">In Words : </t>
    </r>
    <r>
      <rPr>
        <sz val="10"/>
        <color theme="1"/>
        <rFont val="Calibri"/>
        <family val="2"/>
        <scheme val="minor"/>
      </rPr>
      <t>Six Thousand and Eighty Four Only.</t>
    </r>
  </si>
  <si>
    <t>Invoice Date : 20th May 2017</t>
  </si>
  <si>
    <t>PO 9587</t>
  </si>
  <si>
    <t>Computer Paper 132 Column</t>
  </si>
  <si>
    <t>Computer Paper 80 Column</t>
  </si>
  <si>
    <r>
      <t xml:space="preserve">In Words : </t>
    </r>
    <r>
      <rPr>
        <sz val="10"/>
        <color theme="1"/>
        <rFont val="Calibri"/>
        <family val="2"/>
        <scheme val="minor"/>
      </rPr>
      <t>Twelve Thousand Two Hundred and Fifteen Only</t>
    </r>
  </si>
  <si>
    <t>Invoice No. : Corp-SInv-0517-06</t>
  </si>
  <si>
    <t>Invoice No. : Corp-SInv-0517-05</t>
  </si>
  <si>
    <t>Invoice No. : Corp-SInv-0517-04</t>
  </si>
  <si>
    <t>Invoice No. : Corp-SInv-0517-03</t>
  </si>
  <si>
    <t>Invoice No. : Corp-SInv-0517-07</t>
  </si>
  <si>
    <t>PO 9604</t>
  </si>
  <si>
    <t>Ball Pen Signature Brand</t>
  </si>
  <si>
    <t>Tempo Marker</t>
  </si>
  <si>
    <t>Ball Pen Piono Brand</t>
  </si>
  <si>
    <t>Eraser - Dux</t>
  </si>
  <si>
    <t>UHU Gum Stick 40 Gram</t>
  </si>
  <si>
    <t>PVC Brown Masking Tape 2" 50 Yard</t>
  </si>
  <si>
    <t>Sticker Sheet A4</t>
  </si>
  <si>
    <t>Plastic Binding Roll (Rope)</t>
  </si>
  <si>
    <t>Rubber Band 1/2 Kg</t>
  </si>
  <si>
    <t>Plastic Wrapping Sheet</t>
  </si>
  <si>
    <t>Yellow Duster</t>
  </si>
  <si>
    <t>Scissor 8" Singer</t>
  </si>
  <si>
    <t>DVDR Sony with Casing</t>
  </si>
  <si>
    <t>Sheets</t>
  </si>
  <si>
    <t>Role</t>
  </si>
  <si>
    <r>
      <t xml:space="preserve">In Words : </t>
    </r>
    <r>
      <rPr>
        <sz val="10"/>
        <color theme="1"/>
        <rFont val="Calibri"/>
        <family val="2"/>
        <scheme val="minor"/>
      </rPr>
      <t>Fourty Two Thousand Nine Hundred and Twenty One Only</t>
    </r>
  </si>
  <si>
    <t>Invoice No. : Corp-SInv-0617-01</t>
  </si>
  <si>
    <t>Invoice Date : 5th June 2017</t>
  </si>
  <si>
    <t>Sticker Sheet</t>
  </si>
  <si>
    <r>
      <t xml:space="preserve">In Words : </t>
    </r>
    <r>
      <rPr>
        <sz val="10"/>
        <color theme="1"/>
        <rFont val="Calibri"/>
        <family val="2"/>
        <scheme val="minor"/>
      </rPr>
      <t>One Thousand Five Hundred and Twenty One only.</t>
    </r>
  </si>
  <si>
    <r>
      <t xml:space="preserve">In Words : </t>
    </r>
    <r>
      <rPr>
        <sz val="10"/>
        <color theme="1"/>
        <rFont val="Calibri"/>
        <family val="2"/>
        <scheme val="minor"/>
      </rPr>
      <t>Eight Hundred and Nineteen Only</t>
    </r>
  </si>
  <si>
    <t>Invoice Date : 12th June 2017</t>
  </si>
  <si>
    <t>Invoice No. : Corp-SInv-0617-03</t>
  </si>
  <si>
    <t>Invoice No. : Corp-SInv-0617-04</t>
  </si>
  <si>
    <t>Invoice Date : 22nd June 2017</t>
  </si>
  <si>
    <t>PO F-359-2017</t>
  </si>
  <si>
    <t>Register 600 Pages (Imported)</t>
  </si>
  <si>
    <t>Highlighter Dollar Misc.</t>
  </si>
  <si>
    <t>Foldback BinderClip 32mm
Diamond 1-1/4"</t>
  </si>
  <si>
    <t>Foldback BinderClip 32mm
Diamond 2"</t>
  </si>
  <si>
    <t>Stapler Nomal</t>
  </si>
  <si>
    <t>Stapler Kangaroo Brand (Build in Pin Remover)</t>
  </si>
  <si>
    <r>
      <t xml:space="preserve">In Words : </t>
    </r>
    <r>
      <rPr>
        <sz val="10"/>
        <color theme="1"/>
        <rFont val="Calibri"/>
        <family val="2"/>
        <scheme val="minor"/>
      </rPr>
      <t>Thirty Eight Thousand Five Hundred and Fifty Only</t>
    </r>
  </si>
  <si>
    <t>Invoice Date : 4th July 2017</t>
  </si>
  <si>
    <t>Invoice No. : Corp-SInv-0717-01</t>
  </si>
  <si>
    <t>SEF/IC/C/R/241/2016-17</t>
  </si>
  <si>
    <t>Dell Laptop Charger 65w-AC
Adaptor Model no. HA65N55-00</t>
  </si>
  <si>
    <t>Invoice Date : 12th July 2017</t>
  </si>
  <si>
    <t>Invoice No. : Corp-SInv-0717-02</t>
  </si>
  <si>
    <t>Invoice No. : Corp-SInv-0717-03</t>
  </si>
  <si>
    <t>Invoice Date : 13th July 2017</t>
  </si>
  <si>
    <t>Panasonic Telephonic</t>
  </si>
  <si>
    <r>
      <t xml:space="preserve">In Words : </t>
    </r>
    <r>
      <rPr>
        <sz val="10"/>
        <color theme="1"/>
        <rFont val="Calibri"/>
        <family val="2"/>
        <scheme val="minor"/>
      </rPr>
      <t>One Thousand Nine Hundred and Eighty Nine only.</t>
    </r>
  </si>
  <si>
    <t>Invoice No. : Corp-SInv-0717-04</t>
  </si>
  <si>
    <t>Invoice Date : 17th July 2017</t>
  </si>
  <si>
    <t>PO F-399-2017</t>
  </si>
  <si>
    <t>Ball Pen - Dollar Clipper Brand Blue Colour</t>
  </si>
  <si>
    <r>
      <t xml:space="preserve">In Words : </t>
    </r>
    <r>
      <rPr>
        <sz val="10"/>
        <color theme="1"/>
        <rFont val="Calibri"/>
        <family val="2"/>
        <scheme val="minor"/>
      </rPr>
      <t>Twelve Thousand Only</t>
    </r>
  </si>
  <si>
    <t>Invoice No. : Corp-SInv-0717-05</t>
  </si>
  <si>
    <t>Invoice Date : 19th July 2017</t>
  </si>
  <si>
    <t>Invoice Date : 31st July 2017</t>
  </si>
  <si>
    <t>Invoice No. : Corp-SInv-0717-06</t>
  </si>
  <si>
    <t>Sticker Sheet Packet</t>
  </si>
  <si>
    <r>
      <t xml:space="preserve">In Words : </t>
    </r>
    <r>
      <rPr>
        <sz val="10"/>
        <color theme="1"/>
        <rFont val="Calibri"/>
        <family val="2"/>
        <scheme val="minor"/>
      </rPr>
      <t>Five Thousand Six Hundred and Sixteen only.</t>
    </r>
  </si>
  <si>
    <t>Toshiba Cell AA Size</t>
  </si>
  <si>
    <t>Eraser Dux</t>
  </si>
  <si>
    <t>Shaprner Dux</t>
  </si>
  <si>
    <t>Pencil Goldfish</t>
  </si>
  <si>
    <t>Glint</t>
  </si>
  <si>
    <t>Scotch Tape 2" 72 Yards</t>
  </si>
  <si>
    <t xml:space="preserve">DVD Sony Original </t>
  </si>
  <si>
    <t>Staper Pin 24/6 Dollar</t>
  </si>
  <si>
    <t>Air Freshner Perfect</t>
  </si>
  <si>
    <t>Morteen Spray</t>
  </si>
  <si>
    <r>
      <t xml:space="preserve">In Words : </t>
    </r>
    <r>
      <rPr>
        <sz val="10"/>
        <color theme="1"/>
        <rFont val="Calibri"/>
        <family val="2"/>
        <scheme val="minor"/>
      </rPr>
      <t>Eighteen Thousand Seven Hundred and Sixty One only.</t>
    </r>
  </si>
  <si>
    <t>Invoice No. : Corp-SInv-0717-07</t>
  </si>
  <si>
    <t>Invoice Date : 10th August 2017</t>
  </si>
  <si>
    <t>Invoice No. : Corp-SInv-0817-01</t>
  </si>
  <si>
    <t>Cutter Blades (10 Pcs in Packets)</t>
  </si>
  <si>
    <t>Seperator A4 Size (10 Tabs)</t>
  </si>
  <si>
    <t>Half Seperator 100 Pcs Packet</t>
  </si>
  <si>
    <t>Heavy Duty Stapler Opal FL1224</t>
  </si>
  <si>
    <t>Invoice No. : Corp-SInv-0817-02</t>
  </si>
  <si>
    <t>Invoice Date : 16th August 2017</t>
  </si>
  <si>
    <r>
      <t xml:space="preserve">In Words : </t>
    </r>
    <r>
      <rPr>
        <sz val="10"/>
        <color theme="1"/>
        <rFont val="Calibri"/>
        <family val="2"/>
        <scheme val="minor"/>
      </rPr>
      <t>Sixty Five Thousand Nine Hundred and Eighty Eight Only.</t>
    </r>
  </si>
  <si>
    <t>Invoice Date : 25th August 2017</t>
  </si>
  <si>
    <t>Invoice No. : Corp-SInv-0817-03</t>
  </si>
  <si>
    <t>Pak Brunei Investment Company Ltd.</t>
  </si>
  <si>
    <t xml:space="preserve">Horizon Vista, Commercial-10, Block No.4, </t>
  </si>
  <si>
    <t xml:space="preserve">Scheme No. 5, Clifton,Karachi,Pakistan </t>
  </si>
  <si>
    <t>CF-280A - HP Compatible Toner</t>
  </si>
  <si>
    <t>CE-505A - HP Compatible Toner</t>
  </si>
  <si>
    <t>CF-283A - HP Compatible Toner</t>
  </si>
  <si>
    <t>NTN 2866099-4</t>
  </si>
  <si>
    <r>
      <t xml:space="preserve">In Words : </t>
    </r>
    <r>
      <rPr>
        <sz val="10"/>
        <color theme="1"/>
        <rFont val="Calibri"/>
        <family val="2"/>
        <scheme val="minor"/>
      </rPr>
      <t>Eight Thousand Four Hundred and Twenty Four only.</t>
    </r>
  </si>
  <si>
    <t>Invoice No. : Corp-SInv-0817-04</t>
  </si>
  <si>
    <r>
      <t xml:space="preserve">In Words : </t>
    </r>
    <r>
      <rPr>
        <sz val="10"/>
        <color theme="1"/>
        <rFont val="Calibri"/>
        <family val="2"/>
        <scheme val="minor"/>
      </rPr>
      <t>Four Thousand Six Hundred and Eighty Only</t>
    </r>
  </si>
  <si>
    <t>Invoice No. : Corp-SInv-0917-01</t>
  </si>
  <si>
    <t>Invoice Date : 12th September 2017</t>
  </si>
  <si>
    <t>Signature Ball Pen - Blue</t>
  </si>
  <si>
    <t>Signature Ball Pen - Black</t>
  </si>
  <si>
    <t>Korona Box File</t>
  </si>
  <si>
    <t>Calculator CT-9600</t>
  </si>
  <si>
    <t>Clip File</t>
  </si>
  <si>
    <t>Highlighter - Yellow</t>
  </si>
  <si>
    <t>Highlighter - Green</t>
  </si>
  <si>
    <t>Highlighter - Blue</t>
  </si>
  <si>
    <t>Highlighter - Red</t>
  </si>
  <si>
    <t>Sprial Note Book Copy Size</t>
  </si>
  <si>
    <t>Sprial Note Book A4 Size</t>
  </si>
  <si>
    <t>Sticky Note - Different Color</t>
  </si>
  <si>
    <t>Stapler Pin Remover</t>
  </si>
  <si>
    <t>Scotch Tape 1" 50 Yard</t>
  </si>
  <si>
    <t>Scotch Tape 3" 50 Yard</t>
  </si>
  <si>
    <t>Permanent Marker - Blue</t>
  </si>
  <si>
    <t>Transparent File TT</t>
  </si>
  <si>
    <t>MCB Pocket Bag</t>
  </si>
  <si>
    <t>UNI Ball Signo 0.7 - Blue</t>
  </si>
  <si>
    <t>UNI Ball Signo 0.7 - Black</t>
  </si>
  <si>
    <t>D Ring File</t>
  </si>
  <si>
    <t>Separator 1 to 10 Color</t>
  </si>
  <si>
    <t>Half Separator</t>
  </si>
  <si>
    <t>Stapler Machine Deli</t>
  </si>
  <si>
    <t>Stapler Pin 10 no</t>
  </si>
  <si>
    <t>Whtio</t>
  </si>
  <si>
    <t>Writing Pad - Noble A4 Size</t>
  </si>
  <si>
    <t>Writing Pad - Noble Medium Size</t>
  </si>
  <si>
    <t>Writing Pad - Noble Small Size</t>
  </si>
  <si>
    <t>Dozen</t>
  </si>
  <si>
    <r>
      <t xml:space="preserve">In Words : </t>
    </r>
    <r>
      <rPr>
        <sz val="10"/>
        <color theme="1"/>
        <rFont val="Calibri"/>
        <family val="2"/>
        <scheme val="minor"/>
      </rPr>
      <t>Thirteen Thousand One Hundred and Ninty Two Only.</t>
    </r>
  </si>
  <si>
    <t>Invoice No. : Corp-SInv-0917-02</t>
  </si>
  <si>
    <t>Invoice Date : 14th September 2017</t>
  </si>
  <si>
    <t>Invoice No. : Corp-SInv-1017-01</t>
  </si>
  <si>
    <t>Invoice Date : 9th October 2017</t>
  </si>
  <si>
    <t>Paper Cutter Normal</t>
  </si>
  <si>
    <t>Stapler Machine Normal</t>
  </si>
  <si>
    <t>Stapler with Pin Remover</t>
  </si>
  <si>
    <t>Rough Writing Pad Large Solo Brand</t>
  </si>
  <si>
    <t>Rough Writing Pad Small Solo Brand</t>
  </si>
  <si>
    <t>Dollar Clipper Blue Pen</t>
  </si>
  <si>
    <t>Scotch Tape Large 1" - 50 yards</t>
  </si>
  <si>
    <t>Box File</t>
  </si>
  <si>
    <r>
      <t xml:space="preserve">In Words : </t>
    </r>
    <r>
      <rPr>
        <sz val="10"/>
        <color theme="1"/>
        <rFont val="Calibri"/>
        <family val="2"/>
        <scheme val="minor"/>
      </rPr>
      <t>One Hundred Fourty Thousand Two Hundred and Eighty Five Only</t>
    </r>
  </si>
  <si>
    <t>Invoice No. : Corp-SInv-1017-02</t>
  </si>
  <si>
    <t>UHU Glue Stick 8gram Original</t>
  </si>
  <si>
    <r>
      <t xml:space="preserve">In Words : </t>
    </r>
    <r>
      <rPr>
        <sz val="10"/>
        <color theme="1"/>
        <rFont val="Calibri"/>
        <family val="2"/>
        <scheme val="minor"/>
      </rPr>
      <t>Fourty Three Thousand Eight Hundred and Seventy Five Only</t>
    </r>
  </si>
  <si>
    <t>Invoice Date : 19th October 2017</t>
  </si>
  <si>
    <t>Invoice No. : Corp-SInv-1017-03</t>
  </si>
  <si>
    <t>PO 9777</t>
  </si>
  <si>
    <t>Doc Clip - 1"</t>
  </si>
  <si>
    <t>Ball Pen Signature</t>
  </si>
  <si>
    <t>Gel Pen - Signo 0.7</t>
  </si>
  <si>
    <r>
      <t xml:space="preserve">In Words : </t>
    </r>
    <r>
      <rPr>
        <sz val="10"/>
        <color theme="1"/>
        <rFont val="Calibri"/>
        <family val="2"/>
        <scheme val="minor"/>
      </rPr>
      <t>Seven Thousand Five Hundred and Ninety Five only.</t>
    </r>
  </si>
  <si>
    <t>Invoice No. : Corp-SInv-1017-04</t>
  </si>
  <si>
    <t>Invoice Date : 25th October 2017</t>
  </si>
  <si>
    <t>PO 9785</t>
  </si>
  <si>
    <t>BLC Paper Rim 70 Gram</t>
  </si>
  <si>
    <r>
      <t xml:space="preserve">In Words : </t>
    </r>
    <r>
      <rPr>
        <sz val="10"/>
        <color theme="1"/>
        <rFont val="Calibri"/>
        <family val="2"/>
        <scheme val="minor"/>
      </rPr>
      <t>Sixteen Thousand Two Hundred and Sixty Three only.</t>
    </r>
  </si>
  <si>
    <t>Invoice No. : Corp-SInv-1017-05</t>
  </si>
  <si>
    <t>Invoice Date : 27th October 2017</t>
  </si>
  <si>
    <r>
      <t xml:space="preserve">In Words : </t>
    </r>
    <r>
      <rPr>
        <sz val="10"/>
        <color theme="1"/>
        <rFont val="Calibri"/>
        <family val="2"/>
        <scheme val="minor"/>
      </rPr>
      <t>Seven Thousand Eight Hundred and Thirty Nine Only.</t>
    </r>
  </si>
  <si>
    <t>Invoice No. : Corp-SInv-1017-06</t>
  </si>
  <si>
    <t>Invoice Date : 31st October 2017</t>
  </si>
  <si>
    <t>Writing Pad A4 Size</t>
  </si>
  <si>
    <t>Ball Pen Clipper</t>
  </si>
  <si>
    <t>Gem Clip 36mm</t>
  </si>
  <si>
    <t>Stamp Pad Blue</t>
  </si>
  <si>
    <t xml:space="preserve">Stapler Pin 10 </t>
  </si>
  <si>
    <t>Tissue Box Pop Up</t>
  </si>
  <si>
    <t>Air Freshner 300 ml</t>
  </si>
  <si>
    <t>Mortein 400ml</t>
  </si>
  <si>
    <t>Toshiba AAA Cell</t>
  </si>
  <si>
    <r>
      <t xml:space="preserve">In Words : </t>
    </r>
    <r>
      <rPr>
        <sz val="10"/>
        <color theme="1"/>
        <rFont val="Calibri"/>
        <family val="2"/>
        <scheme val="minor"/>
      </rPr>
      <t>Twelve Thousand Six Hundred and Fifty Four only.</t>
    </r>
  </si>
  <si>
    <t>Invoice Date : 7th November 2017</t>
  </si>
  <si>
    <t>Invoice No. : Corp-SInv-1117-01</t>
  </si>
  <si>
    <t xml:space="preserve">Air Freshner Jasmine </t>
  </si>
  <si>
    <t>Tissue Party Pack</t>
  </si>
  <si>
    <r>
      <t xml:space="preserve">In Words : </t>
    </r>
    <r>
      <rPr>
        <sz val="10"/>
        <color theme="1"/>
        <rFont val="Calibri"/>
        <family val="2"/>
        <scheme val="minor"/>
      </rPr>
      <t>Three Thousand Two Hundred and Seventy Six Only</t>
    </r>
  </si>
  <si>
    <t>Invoice No. : Corp-SInv-1117-02</t>
  </si>
  <si>
    <t>Invoice Date : 14th November 2017</t>
  </si>
  <si>
    <t>Invoice No. : Corp-SInv-1117-03</t>
  </si>
  <si>
    <t>Invoice Date : 16th November 2017</t>
  </si>
  <si>
    <t>Golden Paper 132 Column (500 Sheets)</t>
  </si>
  <si>
    <t>Legal Paper AA Brand (80 Gsm)</t>
  </si>
  <si>
    <r>
      <t xml:space="preserve">In Words : </t>
    </r>
    <r>
      <rPr>
        <sz val="10"/>
        <color theme="1"/>
        <rFont val="Calibri"/>
        <family val="2"/>
        <scheme val="minor"/>
      </rPr>
      <t>Seven Thousand Five Hundred and Fourty Seven Only.</t>
    </r>
  </si>
  <si>
    <t>Invoice Date : 28th November 2017</t>
  </si>
  <si>
    <t>Invoice No. : Corp-SInv-1117-04</t>
  </si>
  <si>
    <r>
      <t xml:space="preserve">In Words : </t>
    </r>
    <r>
      <rPr>
        <sz val="10"/>
        <color theme="1"/>
        <rFont val="Calibri"/>
        <family val="2"/>
        <scheme val="minor"/>
      </rPr>
      <t>Eight Thousand One Hundred and Ninety Only.</t>
    </r>
  </si>
  <si>
    <t>Invoice Date : 5th December 2017</t>
  </si>
  <si>
    <t>Invoice No. : Corp-SInv-1217-01</t>
  </si>
  <si>
    <t>Plot No. 333, Korangi Township</t>
  </si>
  <si>
    <t>Near Pakistan Refinery, Karachi</t>
  </si>
  <si>
    <t>PO-AE005263</t>
  </si>
  <si>
    <t>Tea Boilder (15 Liter)</t>
  </si>
  <si>
    <r>
      <t xml:space="preserve">In Words : </t>
    </r>
    <r>
      <rPr>
        <sz val="10"/>
        <color theme="1"/>
        <rFont val="Calibri"/>
        <family val="2"/>
        <scheme val="minor"/>
      </rPr>
      <t>Eleven Thousand One Hundred and Eighty Six Only.</t>
    </r>
  </si>
  <si>
    <t>2. Payments terms will be as per mutual agreed terms</t>
  </si>
  <si>
    <t>Invoice Date : 12th December 2017</t>
  </si>
  <si>
    <t>Invoice Date : 20th December 2017</t>
  </si>
  <si>
    <t>Invoice No. : Corp-SInv-1217-02</t>
  </si>
  <si>
    <t>Al Ghazi Tractors Ltd.</t>
  </si>
  <si>
    <t>DHA, off Korangi Road</t>
  </si>
  <si>
    <t>NTN : 0709507-4</t>
  </si>
  <si>
    <t>Paper A4 80Gram 500 Sheets
5 Rim in a Box</t>
  </si>
  <si>
    <r>
      <t xml:space="preserve">In Words : </t>
    </r>
    <r>
      <rPr>
        <sz val="10"/>
        <color theme="1"/>
        <rFont val="Calibri"/>
        <family val="2"/>
        <scheme val="minor"/>
      </rPr>
      <t>Eighteen Thousand Seven Hundred and Twenty Only</t>
    </r>
  </si>
  <si>
    <t>AGTL-6766</t>
  </si>
  <si>
    <t>Invoice No. : Corp-SInv-1217-03</t>
  </si>
  <si>
    <t>Invoice Date : 23rd December 2017</t>
  </si>
  <si>
    <r>
      <t xml:space="preserve">In Words : </t>
    </r>
    <r>
      <rPr>
        <sz val="10"/>
        <color theme="1"/>
        <rFont val="Calibri"/>
        <family val="2"/>
        <scheme val="minor"/>
      </rPr>
      <t>Seven Thousand Two Hundred and Eighty Three</t>
    </r>
  </si>
  <si>
    <t>Invoice Date : 1st January 2018</t>
  </si>
  <si>
    <t>Invoice No. : Corp-SInv-0118-01</t>
  </si>
  <si>
    <t>PO 8800499595</t>
  </si>
  <si>
    <t>Dollar Highlighter</t>
  </si>
  <si>
    <t>Green Ledger Paper</t>
  </si>
  <si>
    <t>Dollar Permanent Marker</t>
  </si>
  <si>
    <r>
      <t xml:space="preserve">In Words : </t>
    </r>
    <r>
      <rPr>
        <sz val="10"/>
        <color theme="1"/>
        <rFont val="Calibri"/>
        <family val="2"/>
        <scheme val="minor"/>
      </rPr>
      <t>One Hundred Sixty Four Thousand Seven Hundred and Fifty Five Only</t>
    </r>
  </si>
  <si>
    <t>03/3,3rd Floor, Arkay Square Extension</t>
  </si>
  <si>
    <t>Shahrah-e-Liaquat, Karachi</t>
  </si>
  <si>
    <t xml:space="preserve">Ph: +92-21-32421807, 0321-2090558  </t>
  </si>
  <si>
    <t>Aman Institute for Vocational Training</t>
  </si>
  <si>
    <t>Invoice No. : Corp-SInv-0118-02</t>
  </si>
  <si>
    <t>Invoice Date : 19th January 2018</t>
  </si>
  <si>
    <t>SEF/Admn/106/17-18</t>
  </si>
  <si>
    <t>Liquid Soap</t>
  </si>
  <si>
    <t>Scotch Bright</t>
  </si>
  <si>
    <r>
      <t xml:space="preserve">In Words : </t>
    </r>
    <r>
      <rPr>
        <sz val="10"/>
        <color theme="1"/>
        <rFont val="Calibri"/>
        <family val="2"/>
        <scheme val="minor"/>
      </rPr>
      <t>Fourteen Thousand Eight Hundred and Eighty Two Only</t>
    </r>
  </si>
  <si>
    <t>Invoice No. : Corp-SInv-0118-03</t>
  </si>
  <si>
    <t>SEF/Admn/107/17-18</t>
  </si>
  <si>
    <t>Dinner Plate Deep</t>
  </si>
  <si>
    <t>Dinner Plate Large</t>
  </si>
  <si>
    <t>Tea Cup with Saucer</t>
  </si>
  <si>
    <t>Table Spoon</t>
  </si>
  <si>
    <t>Tea Spoon</t>
  </si>
  <si>
    <t>Glass Water</t>
  </si>
  <si>
    <r>
      <t xml:space="preserve">In Words : </t>
    </r>
    <r>
      <rPr>
        <sz val="10"/>
        <color theme="1"/>
        <rFont val="Calibri"/>
        <family val="2"/>
        <scheme val="minor"/>
      </rPr>
      <t>Five Thousand Nine Hundred and Sixty Seven Only</t>
    </r>
  </si>
  <si>
    <t>Invoice No. : Corp-SInv-0118-04</t>
  </si>
  <si>
    <t>Invoice Date : 20th Janaury 2018</t>
  </si>
  <si>
    <t>Box File Korona</t>
  </si>
  <si>
    <t>Calculator JS-20LA</t>
  </si>
  <si>
    <t>Highlighter Dollar - Yellow</t>
  </si>
  <si>
    <t>Highlighter Dollar - Green</t>
  </si>
  <si>
    <t>Highlighter Dollar - Red</t>
  </si>
  <si>
    <t>Highlighter Dollar - Orange</t>
  </si>
  <si>
    <t>L Folder A4</t>
  </si>
  <si>
    <t>Plastic File TT - Blue</t>
  </si>
  <si>
    <t>Plastic File TT - Black</t>
  </si>
  <si>
    <t>Plastic File TT - Red</t>
  </si>
  <si>
    <t>UNI Eye Micro - Black</t>
  </si>
  <si>
    <t>UNI Eye Micro - Blue</t>
  </si>
  <si>
    <t>UNI Eye Micro - Red</t>
  </si>
  <si>
    <t>Separator 1 to 10</t>
  </si>
  <si>
    <t>Glue Stick 21 Gram UHU</t>
  </si>
  <si>
    <t>Whito</t>
  </si>
  <si>
    <t>Knife</t>
  </si>
  <si>
    <t>Stamp Pad - Blue</t>
  </si>
  <si>
    <t>Stamp Pad - Black</t>
  </si>
  <si>
    <t>Mouse Pad</t>
  </si>
  <si>
    <t>Scotch Tape Cater Plus 1" 50 Yard</t>
  </si>
  <si>
    <t>Scotch Tape Cater Plus 3" 50 Yard</t>
  </si>
  <si>
    <t>Paper One 75 Gram</t>
  </si>
  <si>
    <t>Paper One F4 Szie</t>
  </si>
  <si>
    <r>
      <t xml:space="preserve">In Words : </t>
    </r>
    <r>
      <rPr>
        <sz val="10"/>
        <color theme="1"/>
        <rFont val="Calibri"/>
        <family val="2"/>
        <scheme val="minor"/>
      </rPr>
      <t>Twenty Eight Thousand One Hundred and Fourty Five Only.</t>
    </r>
  </si>
  <si>
    <t>Invoice No. : Corp-SInv-0118-05</t>
  </si>
  <si>
    <t>PO 8800507589</t>
  </si>
  <si>
    <t>Stapler Heavy Duty
Deli Model no. E0485</t>
  </si>
  <si>
    <t>Hole Punch Machine Heavy Duty, Deli Model no. E0130</t>
  </si>
  <si>
    <t>Stapler Normal Kangroo Brand Model No. DS-35</t>
  </si>
  <si>
    <t>Calculator Normal Casio MJ-120</t>
  </si>
  <si>
    <t>Pointer Gel -1 Dollar Brand</t>
  </si>
  <si>
    <t>Plastic Files (Transparent)</t>
  </si>
  <si>
    <t>Rubber Band Box Large</t>
  </si>
  <si>
    <t>Legal Size Paper</t>
  </si>
  <si>
    <r>
      <t xml:space="preserve">In Words : </t>
    </r>
    <r>
      <rPr>
        <sz val="10"/>
        <color theme="1"/>
        <rFont val="Calibri"/>
        <family val="2"/>
        <scheme val="minor"/>
      </rPr>
      <t>Two Hundred Twenty Seven Thousand One Hundred and Ninety Five Only</t>
    </r>
  </si>
  <si>
    <t>Invoice Date : 30th January 2018</t>
  </si>
  <si>
    <t>Invoice No. : Corp-SInv-0218-01</t>
  </si>
  <si>
    <r>
      <t xml:space="preserve">In Words : </t>
    </r>
    <r>
      <rPr>
        <sz val="10"/>
        <color theme="1"/>
        <rFont val="Calibri"/>
        <family val="2"/>
        <scheme val="minor"/>
      </rPr>
      <t>Nine Thousand Three Hundred and Sixty Only</t>
    </r>
  </si>
  <si>
    <t>Invoice Date : 15th February 2018</t>
  </si>
  <si>
    <t>GSK</t>
  </si>
  <si>
    <t>35 Dockyard Road, West Wharf,</t>
  </si>
  <si>
    <t>WS-C2960X-24PS-L
Catalyst 2960-X 24 GigE PoE 370W, 4 x 1G SFP, LAN Base</t>
  </si>
  <si>
    <t>CON-SSSNT-WSC224SL
SOLN SUPP 8X5XNBD Catalyst 2960-X 24 GigE PoE 370W 4 x 1G S</t>
  </si>
  <si>
    <t>CAB-ACU
AC Power Cord (UK), C13, BS 1363, 2.5m</t>
  </si>
  <si>
    <t>SFP MODULE
GLC-SX-MMD
1000BASE-SX SFP transceiver module, MMF, 850nm, DOM</t>
  </si>
  <si>
    <t>1. Validity - Proposal is Valid for 20 Days</t>
  </si>
  <si>
    <t>2. Delivery - 6 to 8 weeks after confirmation of the PO</t>
  </si>
  <si>
    <t>3. Payment - 100% on Delivery of Goods</t>
  </si>
  <si>
    <t>4. Warranty : The proposed BOQ covers one year warranty.</t>
  </si>
  <si>
    <t>5. Installation : Timeline would be shared after issuance of PO</t>
  </si>
  <si>
    <r>
      <t xml:space="preserve">In Words : </t>
    </r>
    <r>
      <rPr>
        <sz val="10"/>
        <color theme="1"/>
        <rFont val="Calibri"/>
        <family val="2"/>
        <scheme val="minor"/>
      </rPr>
      <t>Five Hundred Eighty Six Thousand One Hundred and Seventy Only.</t>
    </r>
  </si>
  <si>
    <t>WS-C2960X-24PS-L
Catalyst 2960-X 24 GigE PoE 370W, 4 x 1G SFP, LAN Base
Remanufactured</t>
  </si>
  <si>
    <t>SFP MODULE
GLC-SX-MMD
1000BASE-SX SFP transceiver module, MMF, 850nm, DOM
Remanufactured</t>
  </si>
  <si>
    <r>
      <t xml:space="preserve">In Words : </t>
    </r>
    <r>
      <rPr>
        <sz val="10"/>
        <color theme="1"/>
        <rFont val="Calibri"/>
        <family val="2"/>
        <scheme val="minor"/>
      </rPr>
      <t>Three Hundred Seventy Two Thousand and Sixty Only.</t>
    </r>
  </si>
  <si>
    <t>Item Name
REMANUFACTURED
CISCO Solutions</t>
  </si>
  <si>
    <t>Item Name
BRAND NEW
Cisco Solutions</t>
  </si>
  <si>
    <t>QUOTATION</t>
  </si>
  <si>
    <t>Invoice No. : Quote-0218-02</t>
  </si>
  <si>
    <t>Invoice Date : 20th February 2018</t>
  </si>
  <si>
    <t>Invoice No. : Quote-0218-04</t>
  </si>
  <si>
    <t>Multi – hole paper punch machine</t>
  </si>
  <si>
    <t>Coil &amp; Spiral Binding machinex
Quality - A</t>
  </si>
  <si>
    <t>Coil &amp; Spiral Binding machinex
Quality - B</t>
  </si>
  <si>
    <t>Coils, spirals - Size 6.0 mm</t>
  </si>
  <si>
    <t>Coils, spirals - Size 8.0 mm</t>
  </si>
  <si>
    <t>Coils, spirals - Size 10.0 mm</t>
  </si>
  <si>
    <t>Coils, spirals - Size 12.0 mm</t>
  </si>
  <si>
    <t>Coils, spirals - Size 14.0 mm</t>
  </si>
  <si>
    <t>Coils, spirals - Size 16.0 mm</t>
  </si>
  <si>
    <t>Coils, spirals - Size 18.0 mm</t>
  </si>
  <si>
    <t>Coils, spirals - Size 20.0 mm</t>
  </si>
  <si>
    <t>Front and back cover 
10 MM ( 100 Sheet Packet )</t>
  </si>
  <si>
    <t>Binding tap black - 5 Yards</t>
  </si>
  <si>
    <t>Binding tap black - 10 Yards</t>
  </si>
  <si>
    <t>1. Good will be delivery after receiving of Purchase Order.</t>
  </si>
  <si>
    <t>PRICES will be shared soon</t>
  </si>
  <si>
    <t>Invoice Date : 16th February 2018</t>
  </si>
  <si>
    <t>Invoice No. : Corp-SInv-0218-02</t>
  </si>
  <si>
    <t>Invoice Date : 27th February 2018</t>
  </si>
  <si>
    <t>Plate Large Corolly</t>
  </si>
  <si>
    <t>Plate Deep Corolly</t>
  </si>
  <si>
    <t>Cup with Sauser Best Quality</t>
  </si>
  <si>
    <t>Water Glass</t>
  </si>
  <si>
    <t>Spoon for Rice Stainless Steel</t>
  </si>
  <si>
    <t>Tissue Box Rose Petel (Medium)</t>
  </si>
  <si>
    <r>
      <t xml:space="preserve">In Words : </t>
    </r>
    <r>
      <rPr>
        <sz val="10"/>
        <color theme="1"/>
        <rFont val="Calibri"/>
        <family val="2"/>
        <scheme val="minor"/>
      </rPr>
      <t>Seven Thousand Five Hundred and Eighty Two Only</t>
    </r>
  </si>
  <si>
    <t>Invoice Date : 2nd March 2018</t>
  </si>
  <si>
    <t>Invoice No. : Corp-SInv-0318-01</t>
  </si>
  <si>
    <t>HBL Asset Management Ltd.</t>
  </si>
  <si>
    <t>Admn/HBLAML/2018</t>
  </si>
  <si>
    <t>Ball Pen Clipper - Black</t>
  </si>
  <si>
    <t>Executive Box File (Imported)</t>
  </si>
  <si>
    <t>Dividers (10 counting Set) Card</t>
  </si>
  <si>
    <t>Glue Stick UHU 21 Gram</t>
  </si>
  <si>
    <t>White Board Eraser Duster Local</t>
  </si>
  <si>
    <t>Paper Cutter Knife</t>
  </si>
  <si>
    <t>Plastic File ( A-4 Size) (One Side Transparent One Side Plastic)</t>
  </si>
  <si>
    <t>Plastic Folder (L-Shape) A4 Size</t>
  </si>
  <si>
    <t>Sticky Flags(signature Tag)</t>
  </si>
  <si>
    <t>Punch Machine small</t>
  </si>
  <si>
    <t>Register 300 Pages</t>
  </si>
  <si>
    <t>Ring File PVC Imported Small</t>
  </si>
  <si>
    <t>Staplers Pin box 24/6 Dollar</t>
  </si>
  <si>
    <t>A4 Paper Rim BLC 70</t>
  </si>
  <si>
    <t>Writing pad (small) Noble</t>
  </si>
  <si>
    <t>Binder Clip (1-1/4”Width)</t>
  </si>
  <si>
    <t>Carton Tape (Brown Packing Tape 3" 50 Yard</t>
  </si>
  <si>
    <r>
      <t xml:space="preserve">In Words : </t>
    </r>
    <r>
      <rPr>
        <sz val="10"/>
        <color theme="1"/>
        <rFont val="Calibri"/>
        <family val="2"/>
        <scheme val="minor"/>
      </rPr>
      <t>Eighty Four Thousand Six Hundred and Nine Only</t>
    </r>
  </si>
  <si>
    <t>Invoice Date : 21st March 2018</t>
  </si>
  <si>
    <t>Invoice No. : Corp-SInv-0318-02</t>
  </si>
  <si>
    <t>LED TV 32"
Haier Model No. 32K6000</t>
  </si>
  <si>
    <r>
      <t xml:space="preserve">In Words : </t>
    </r>
    <r>
      <rPr>
        <sz val="10"/>
        <color theme="1"/>
        <rFont val="Calibri"/>
        <family val="2"/>
        <scheme val="minor"/>
      </rPr>
      <t>Twenty Four Thousand Only</t>
    </r>
  </si>
  <si>
    <t>Invoice Date : 28th March 2018</t>
  </si>
  <si>
    <t>Invoice No. : Corp-SInv-0318-03</t>
  </si>
  <si>
    <t>03/3, 3rd Floor, Arkay Square Ext.</t>
  </si>
  <si>
    <t xml:space="preserve">Ph: +92-21-32421807,0321-2090558  </t>
  </si>
  <si>
    <t>Dr. Ziauddin Hospital</t>
  </si>
  <si>
    <t>Block-B, North Nazimabad</t>
  </si>
  <si>
    <t>NTN 1363771-1</t>
  </si>
  <si>
    <t>Paper Rim - PPC Brand
70Gram</t>
  </si>
  <si>
    <r>
      <t xml:space="preserve">In Words : </t>
    </r>
    <r>
      <rPr>
        <sz val="10"/>
        <color theme="1"/>
        <rFont val="Calibri"/>
        <family val="2"/>
        <scheme val="minor"/>
      </rPr>
      <t>Two Hundred Thirty One Thousand Only.</t>
    </r>
  </si>
  <si>
    <t>2. Payments terms will be 30 Days after receiving of invoice.</t>
  </si>
  <si>
    <t>Invoice Date : 3rd April 2018</t>
  </si>
  <si>
    <t>Invoice No. : Corp-SInv-0418-01</t>
  </si>
  <si>
    <r>
      <t xml:space="preserve">In Words : </t>
    </r>
    <r>
      <rPr>
        <sz val="10"/>
        <color theme="1"/>
        <rFont val="Calibri"/>
        <family val="2"/>
        <scheme val="minor"/>
      </rPr>
      <t>Nine thousand and nine only</t>
    </r>
  </si>
  <si>
    <t>Invoice No. : Corp-SInv-0418-02</t>
  </si>
  <si>
    <t>PO-AE00007003</t>
  </si>
  <si>
    <t>Hard Plastic File (A4 Size)
Light Blue</t>
  </si>
  <si>
    <r>
      <t xml:space="preserve">In Words : </t>
    </r>
    <r>
      <rPr>
        <sz val="10"/>
        <color theme="1"/>
        <rFont val="Calibri"/>
        <family val="2"/>
        <scheme val="minor"/>
      </rPr>
      <t>Two Thousand Nine Hundred and Eighty Four Only.</t>
    </r>
  </si>
  <si>
    <t>Invoice No. : Corp-SInv-0418-03</t>
  </si>
  <si>
    <t>Steel Scale Medium Quality</t>
  </si>
  <si>
    <t>Scotch Tape 1" 50 Yard Jhonson</t>
  </si>
  <si>
    <t>Scotch Tape 1" Large Dispencer Okacia Brand</t>
  </si>
  <si>
    <t>Ball Pen PIANO 0.8 mm</t>
  </si>
  <si>
    <t>Blanco Pelikan</t>
  </si>
  <si>
    <t>Scissor China Good Quality</t>
  </si>
  <si>
    <t>Box File (Plastic Blue Color )Boss</t>
  </si>
  <si>
    <t>Separator 1 to 10 Tab Multi Color Hard Card</t>
  </si>
  <si>
    <t>Tissue Boxes Rose Petal Luxury</t>
  </si>
  <si>
    <t>Boxes</t>
  </si>
  <si>
    <r>
      <t xml:space="preserve">In Words : </t>
    </r>
    <r>
      <rPr>
        <sz val="10"/>
        <color theme="1"/>
        <rFont val="Calibri"/>
        <family val="2"/>
        <scheme val="minor"/>
      </rPr>
      <t>Two Thousand Eighty Four Thousand One Hundred and Ninety Only</t>
    </r>
  </si>
  <si>
    <t>Invoice Date : 11th April 2018</t>
  </si>
  <si>
    <t>Invoice Date : 23rd April 2017</t>
  </si>
  <si>
    <t>Bar File</t>
  </si>
  <si>
    <t>Invoice Date : 7th June 2018</t>
  </si>
  <si>
    <t>Invoice No. : SInv-0618-01</t>
  </si>
  <si>
    <r>
      <t xml:space="preserve">In Words : </t>
    </r>
    <r>
      <rPr>
        <sz val="10"/>
        <color theme="1"/>
        <rFont val="Calibri"/>
        <family val="2"/>
        <scheme val="minor"/>
      </rPr>
      <t>Six Thousand Five Hundred and Seventy Five only.</t>
    </r>
  </si>
  <si>
    <t>Invoice No. : Corp-SInv-0618-02</t>
  </si>
  <si>
    <t>Invoice Date : 21st June 2018</t>
  </si>
  <si>
    <t>PO 8800553404</t>
  </si>
  <si>
    <t>Plastic Files (Transparent Hard)</t>
  </si>
  <si>
    <t>Gem Clip 25mm</t>
  </si>
  <si>
    <t>Gem Clip 28mm</t>
  </si>
  <si>
    <t>Gem Clip 33mm</t>
  </si>
  <si>
    <t>Gem Clip 50mm</t>
  </si>
  <si>
    <t>Cutter Blade Docro 10 Pcs In Each Packet</t>
  </si>
  <si>
    <t>Rubber Bnad Box Large Size 35
Gram</t>
  </si>
  <si>
    <t>Ball Pen Piano 0.8 mm</t>
  </si>
  <si>
    <t>Stapler Pin Normal Dollar 24/6</t>
  </si>
  <si>
    <t>Stapler Pin Heavy Duty 23/17
Kangroo</t>
  </si>
  <si>
    <t>Rough Writing Pad Small Noble
Brand</t>
  </si>
  <si>
    <r>
      <t xml:space="preserve">In Words : </t>
    </r>
    <r>
      <rPr>
        <sz val="10"/>
        <color theme="1"/>
        <rFont val="Calibri"/>
        <family val="2"/>
        <scheme val="minor"/>
      </rPr>
      <t>One Hundred Ninety Eight Thousand Four Hundred and Fourteen Only</t>
    </r>
  </si>
  <si>
    <t>Invoice No. : SInv-0618-03</t>
  </si>
  <si>
    <t>Scotch Tape 1" - 50 Yards</t>
  </si>
  <si>
    <t>Imported Box File</t>
  </si>
  <si>
    <t>Rough Pad Medium Solo Brand</t>
  </si>
  <si>
    <t>Imported Ring File with Pocket</t>
  </si>
  <si>
    <t>Seperator Tab 1 to 10</t>
  </si>
  <si>
    <t>Half Seperator</t>
  </si>
  <si>
    <r>
      <t xml:space="preserve">In Words : </t>
    </r>
    <r>
      <rPr>
        <sz val="10"/>
        <color theme="1"/>
        <rFont val="Calibri"/>
        <family val="2"/>
        <scheme val="minor"/>
      </rPr>
      <t>Twenty Two Thousand Eight Hundred and Eighty Five only.</t>
    </r>
  </si>
  <si>
    <t>Invoice Date : 29th June 2018</t>
  </si>
  <si>
    <t>Invoice No. : Corp-SInv-0618-04</t>
  </si>
  <si>
    <r>
      <t xml:space="preserve">In Words : </t>
    </r>
    <r>
      <rPr>
        <sz val="10"/>
        <color theme="1"/>
        <rFont val="Calibri"/>
        <family val="2"/>
        <scheme val="minor"/>
      </rPr>
      <t>Ten thousand Six Hundred and Fourty Seven only</t>
    </r>
  </si>
  <si>
    <t>Invoice Date : 31st July 2018</t>
  </si>
  <si>
    <t>Invoice No. : Corp-SInv-0718-01</t>
  </si>
  <si>
    <t>Ball Pen (Black)</t>
  </si>
  <si>
    <t>Ball Pen (Blue)</t>
  </si>
  <si>
    <t>Dividers (10 counting Set)</t>
  </si>
  <si>
    <t>White Board Eraser</t>
  </si>
  <si>
    <t>Plastic File ( A-4 Size)</t>
  </si>
  <si>
    <t>Transparent File Folder (with Sliding Clip)</t>
  </si>
  <si>
    <t>Plastic Folder (L-Shape)</t>
  </si>
  <si>
    <t>Post-it Notes </t>
  </si>
  <si>
    <t>Ring File </t>
  </si>
  <si>
    <t>Scotch Tape</t>
  </si>
  <si>
    <t>Separators (Cut Separator Set)</t>
  </si>
  <si>
    <t>Staplers Pin box</t>
  </si>
  <si>
    <t>A4 Paper Rim </t>
  </si>
  <si>
    <t>Writing pad (small)</t>
  </si>
  <si>
    <t>Paper Clip</t>
  </si>
  <si>
    <t>Rubber bands</t>
  </si>
  <si>
    <t>Carton Tape</t>
  </si>
  <si>
    <t>Invoice No. : Corp-SInv-0718-02</t>
  </si>
  <si>
    <r>
      <t xml:space="preserve">In Words : </t>
    </r>
    <r>
      <rPr>
        <sz val="10"/>
        <color theme="1"/>
        <rFont val="Calibri"/>
        <family val="2"/>
        <scheme val="minor"/>
      </rPr>
      <t>One Hundred Thirty Two Thousand Six Hundred and Thirteen Only.</t>
    </r>
  </si>
  <si>
    <r>
      <t xml:space="preserve">In Words : </t>
    </r>
    <r>
      <rPr>
        <sz val="10"/>
        <color theme="1"/>
        <rFont val="Calibri"/>
        <family val="2"/>
        <scheme val="minor"/>
      </rPr>
      <t>Thirty Six Thousand Eight Hundred and Fifty Five Only</t>
    </r>
  </si>
  <si>
    <t>Invoice Date : 1st August 2018</t>
  </si>
  <si>
    <t>Invoice No. : Corp-SInv-0818-01</t>
  </si>
  <si>
    <t>Legal Paper 200</t>
  </si>
  <si>
    <r>
      <t xml:space="preserve">In Words : </t>
    </r>
    <r>
      <rPr>
        <sz val="10"/>
        <color theme="1"/>
        <rFont val="Calibri"/>
        <family val="2"/>
        <scheme val="minor"/>
      </rPr>
      <t>Thirty Five Thousand One Hundred only.</t>
    </r>
  </si>
  <si>
    <t>Invoice Date : 30th August 2018</t>
  </si>
  <si>
    <t>Invoice No. : Corp-SInv-0818-03</t>
  </si>
  <si>
    <r>
      <t xml:space="preserve">In Words : </t>
    </r>
    <r>
      <rPr>
        <sz val="10"/>
        <color theme="1"/>
        <rFont val="Calibri"/>
        <family val="2"/>
        <scheme val="minor"/>
      </rPr>
      <t>Eleven thousand Eight Hundred and Eighty Seven only</t>
    </r>
  </si>
  <si>
    <t>Invoice No. : Corp-SInv-0918-01</t>
  </si>
  <si>
    <t>Register Noble 600 Pages</t>
  </si>
  <si>
    <t>Binder Clip 51mm</t>
  </si>
  <si>
    <t>Binder Clip 41mm</t>
  </si>
  <si>
    <t>Binder Clip 15mm</t>
  </si>
  <si>
    <t>Piano Ballpen 0.8mm</t>
  </si>
  <si>
    <t>Paper Tray Metal 3 Steps</t>
  </si>
  <si>
    <t>Crystal Stamp Pad</t>
  </si>
  <si>
    <t>Normal Paper Cutter</t>
  </si>
  <si>
    <t>Binder Clip 32mm</t>
  </si>
  <si>
    <t>Binder Clip 25mm</t>
  </si>
  <si>
    <t>Binder Clip 19mm</t>
  </si>
  <si>
    <t>Staple Remover Deli Brand</t>
  </si>
  <si>
    <r>
      <t xml:space="preserve">In Words : </t>
    </r>
    <r>
      <rPr>
        <sz val="10"/>
        <color theme="1"/>
        <rFont val="Calibri"/>
        <family val="2"/>
        <scheme val="minor"/>
      </rPr>
      <t>One Hundred and Seven Thousand Nine Hundred and Fourty Four only.</t>
    </r>
  </si>
  <si>
    <t>Invoice Date : 11th September 2018</t>
  </si>
  <si>
    <t>Invoice Date : 18th Sep 2018</t>
  </si>
  <si>
    <t>Invoice No. : Sinv-0918-02</t>
  </si>
  <si>
    <r>
      <t xml:space="preserve">In Words : </t>
    </r>
    <r>
      <rPr>
        <sz val="10"/>
        <color theme="1"/>
        <rFont val="Calibri"/>
        <family val="2"/>
        <scheme val="minor"/>
      </rPr>
      <t>Seventeen Thousand Five Hundred and Fifty only.</t>
    </r>
  </si>
  <si>
    <t>Invoice No. : Sinv-0918-03</t>
  </si>
  <si>
    <t>Invoice Date : 25th Sep 2018</t>
  </si>
  <si>
    <t>NTN 2605502-3</t>
  </si>
  <si>
    <t>DHA, Khayaban-e-Shahbaz</t>
  </si>
  <si>
    <t>BLC A4 Size 70 gram paper</t>
  </si>
  <si>
    <t>BUY</t>
  </si>
  <si>
    <r>
      <t xml:space="preserve">In Words : </t>
    </r>
    <r>
      <rPr>
        <sz val="10"/>
        <color theme="1"/>
        <rFont val="Calibri"/>
        <family val="2"/>
        <scheme val="minor"/>
      </rPr>
      <t>Seventy Four Thousan Five Hundred and Eighty Eight only.</t>
    </r>
  </si>
  <si>
    <t>Invoice No. : Corp-SInv-1018-01</t>
  </si>
  <si>
    <t>Invoice Date : 4th October 2018</t>
  </si>
  <si>
    <t>Paper Rim - PaperOne Brand - 75gm - Legal Size</t>
  </si>
  <si>
    <r>
      <t xml:space="preserve">In Words : </t>
    </r>
    <r>
      <rPr>
        <sz val="10"/>
        <color theme="1"/>
        <rFont val="Calibri"/>
        <family val="2"/>
        <scheme val="minor"/>
      </rPr>
      <t>Twelve thousand Eight Hundred and Fifty Eight only</t>
    </r>
  </si>
  <si>
    <t>Invoice No. : Sinv-1018-02</t>
  </si>
  <si>
    <t>Invoice Date : 5th October 2018</t>
  </si>
  <si>
    <t>Pocket File Clear Book 5034</t>
  </si>
  <si>
    <t>Invoice No. : Sinv-1018-03</t>
  </si>
  <si>
    <t>Invoice Date : 10th October 2018</t>
  </si>
  <si>
    <t>Foam Tape - 1 Inch</t>
  </si>
  <si>
    <r>
      <t xml:space="preserve">In Words : </t>
    </r>
    <r>
      <rPr>
        <sz val="10"/>
        <color theme="1"/>
        <rFont val="Calibri"/>
        <family val="2"/>
        <scheme val="minor"/>
      </rPr>
      <t>Eight Hundred and Fourty Two Only.</t>
    </r>
  </si>
  <si>
    <t>Invoice No. : Corp-SInv-1018-04</t>
  </si>
  <si>
    <t>Invoice Date : 11th October 2018</t>
  </si>
  <si>
    <t>PO No. 467</t>
  </si>
  <si>
    <t>Security Papers Limited</t>
  </si>
  <si>
    <t>JINNAH AVENUE MALIR HALT, KARACHI-75100</t>
  </si>
  <si>
    <t>N.T.N. # 34-01-0712033-8, S.T.R. # 02-04-4816-002-64</t>
  </si>
  <si>
    <t>Blanko Fluid Pen - Euro</t>
  </si>
  <si>
    <t>Carbon Paper for Pencil - KCR Blue</t>
  </si>
  <si>
    <t>FILE LEVER INDEX (BOX FILE) MAKE: KORONA</t>
  </si>
  <si>
    <t>PAPER PUNCHING MACHINE</t>
  </si>
  <si>
    <t>BALL PEN "BLUE" MAKE: DOLLAR CLIPPER</t>
  </si>
  <si>
    <t>BALL PEN "RED" MAKE: DOLLAR CLIPPER</t>
  </si>
  <si>
    <t>BALL PEN "BLACK" MAKE: DOLLAR CLIPPER</t>
  </si>
  <si>
    <t>STAPLING PINS SIZE: 24/6, MAKE: DOLLAR</t>
  </si>
  <si>
    <t>THUMB PINS PLASTIC BODY</t>
  </si>
  <si>
    <t>SCALE STEEL 12" MADE IN CHINA</t>
  </si>
  <si>
    <t>STAPLER REMOVER GOOD QUALITY</t>
  </si>
  <si>
    <t>ENVELOPES KHAKI A4 GOOD QUALITY</t>
  </si>
  <si>
    <t>SHARPNER MAKE: DUX</t>
  </si>
  <si>
    <t>Pkt.</t>
  </si>
  <si>
    <r>
      <t xml:space="preserve">In Words : </t>
    </r>
    <r>
      <rPr>
        <sz val="10"/>
        <color theme="1"/>
        <rFont val="Calibri"/>
        <family val="2"/>
        <scheme val="minor"/>
      </rPr>
      <t>Thirty One Thousand Four Hundred and Eighty Seven only.</t>
    </r>
  </si>
  <si>
    <t>Invoice No. : Sinv-1018-05</t>
  </si>
  <si>
    <t>Invoice Date : 17th October 2018</t>
  </si>
  <si>
    <t>Invoice No. : Sinv-1018-06</t>
  </si>
  <si>
    <r>
      <t xml:space="preserve">In Words : </t>
    </r>
    <r>
      <rPr>
        <sz val="10"/>
        <color theme="1"/>
        <rFont val="Calibri"/>
        <family val="2"/>
        <scheme val="minor"/>
      </rPr>
      <t>Nine Thousand Two Hundred and Sixty Six Only.</t>
    </r>
  </si>
  <si>
    <r>
      <t xml:space="preserve">In Words : </t>
    </r>
    <r>
      <rPr>
        <sz val="10"/>
        <color theme="1"/>
        <rFont val="Calibri"/>
        <family val="2"/>
        <scheme val="minor"/>
      </rPr>
      <t>Seven Thousand Two Hundred and Seven Only.</t>
    </r>
  </si>
  <si>
    <t>Invoice Date : 20th Oct 2018</t>
  </si>
  <si>
    <t>Invoice No. : Sinv-1018-07</t>
  </si>
  <si>
    <t>Invoice Date : 25th Oct 2018</t>
  </si>
  <si>
    <t>Invoice No. : Sinv-1018-08</t>
  </si>
  <si>
    <t>Invoice Date : 25th October 2018</t>
  </si>
  <si>
    <t>Invoice No. : Corp-SInv-1018-09</t>
  </si>
  <si>
    <t>LEMON MAX DISH WASH LIQUID</t>
  </si>
  <si>
    <t>POINTER BLACK</t>
  </si>
  <si>
    <t>BALL PEN "BLUE"</t>
  </si>
  <si>
    <r>
      <t xml:space="preserve">In Words : </t>
    </r>
    <r>
      <rPr>
        <sz val="10"/>
        <color theme="1"/>
        <rFont val="Calibri"/>
        <family val="2"/>
        <scheme val="minor"/>
      </rPr>
      <t>Four Thousand Four Hundred and Five Only.</t>
    </r>
  </si>
  <si>
    <t>PO No. 547</t>
  </si>
  <si>
    <t>Invoice Date : 6th November 2018</t>
  </si>
  <si>
    <t>Invoice No. : Sinv-1118-01</t>
  </si>
  <si>
    <r>
      <t xml:space="preserve">In Words : </t>
    </r>
    <r>
      <rPr>
        <sz val="10"/>
        <color theme="1"/>
        <rFont val="Calibri"/>
        <family val="2"/>
        <scheme val="minor"/>
      </rPr>
      <t>Seventy Nine Thousand Eight Hundred and Fifty Three only.</t>
    </r>
  </si>
  <si>
    <t>Invoice No. : Sinv-1118-02</t>
  </si>
  <si>
    <t>Invoice Date : 9th November 2018</t>
  </si>
  <si>
    <t>Pearl Continental Karachi</t>
  </si>
  <si>
    <t>Club Road, Karachi,</t>
  </si>
  <si>
    <t>Pakistan</t>
  </si>
  <si>
    <t>* First Copy</t>
  </si>
  <si>
    <t>HP TONER Q5949A
Laser Jet Cartridge (Copy)</t>
  </si>
  <si>
    <t>HP TONER CF226A
Laser Jet Cartridge (Copy)</t>
  </si>
  <si>
    <t>HP TONER CE285A
Laser Jet Cartridge (Copy)</t>
  </si>
  <si>
    <t>HP TONER CE505A
Laser Jet Cartridge (Copy)</t>
  </si>
  <si>
    <r>
      <t xml:space="preserve">In Words : </t>
    </r>
    <r>
      <rPr>
        <sz val="10"/>
        <color theme="1"/>
        <rFont val="Calibri"/>
        <family val="2"/>
        <scheme val="minor"/>
      </rPr>
      <t>Seventy Thousand and Two Hundred Only.</t>
    </r>
  </si>
  <si>
    <t>Invoice No. : SInv-1118-03</t>
  </si>
  <si>
    <t>Invoice Date : 10th November 2018</t>
  </si>
  <si>
    <t>SEF/IC/C/R/81</t>
  </si>
  <si>
    <t>Paper Tray Metal</t>
  </si>
  <si>
    <r>
      <t xml:space="preserve">In Words : </t>
    </r>
    <r>
      <rPr>
        <sz val="10"/>
        <color theme="1"/>
        <rFont val="Calibri"/>
        <family val="2"/>
        <scheme val="minor"/>
      </rPr>
      <t>Three Thousand Five Hundred and Twelve Only</t>
    </r>
  </si>
  <si>
    <t>Invoice Date : 16th November 2018</t>
  </si>
  <si>
    <t>Invoice No. : Corp-SInv-1118-04</t>
  </si>
  <si>
    <t>Lipton GREEN TEABAG LEMON
100P Green Tea Pkt of 100 Pcs</t>
  </si>
  <si>
    <t>FINE FOOD WHITE SUGAR
1KG Sugar Packets Per Kg Fine
Food/ Shakarganj</t>
  </si>
  <si>
    <t>DANEDAR TEABAG
ENVELOPE 50P Tea Bags Tapal ?
Pkt of 30 Pcs Tapal</t>
  </si>
  <si>
    <t>FD AIR FRESH.WHITE LILAC
300ML Airfereshner</t>
  </si>
  <si>
    <t>ARIEL TOP LOAD 500G X3
Ariel Surf`</t>
  </si>
  <si>
    <t>FURNITURE POLISH FIX Polish
(Wood/Leathers) Fix</t>
  </si>
  <si>
    <t>SCOTCH BRITE STEEL SPIRAL
X2 Scotch Brite (Iron jali) Scotch
Brite</t>
  </si>
  <si>
    <t>ROSEPETAL T.ROLL BIG Tissue
(Toilet Roll) 10-Pcs Rosepetal</t>
  </si>
  <si>
    <t>RP ZOOP KITCHEN ROLL
TWIN Tissue Roll (Kitchen) 2-Pcs
Rosepetal</t>
  </si>
  <si>
    <t>RUBBER MATT MEDUIM Floor
Mat (Joot)</t>
  </si>
  <si>
    <t>BROOM FLOWER X2 Broom
Phool Wali</t>
  </si>
  <si>
    <t>WET MOP COMPLETE 450
GRAMS Complete Mop with Ribon</t>
  </si>
  <si>
    <t>WET MOP REFILL 450 GRAMS
Mop Ribbon Refill</t>
  </si>
  <si>
    <t>WIPER CLEAN MAX L X1
Wiper</t>
  </si>
  <si>
    <t>TOILET BRUSH (WHITE AND
BLUE) Washroom Brush</t>
  </si>
  <si>
    <t>DUSTER YELLOW CW X6
Magic Duster</t>
  </si>
  <si>
    <t>Kg</t>
  </si>
  <si>
    <t>Invoice No. : Corp-SInv-1118-05</t>
  </si>
  <si>
    <t>Ball Pen ( Blue-18 &amp; Black-7
PKT) Signature</t>
  </si>
  <si>
    <t>Box Files Korona 42 Pcs</t>
  </si>
  <si>
    <t>Eraser Kidco 6 Pcs</t>
  </si>
  <si>
    <t>Hole Punch 2 Pcs</t>
  </si>
  <si>
    <t>Note Books 5 Pcs</t>
  </si>
  <si>
    <t>Pencils Goldfish 2 Pkt</t>
  </si>
  <si>
    <t>Permanent Marker (Black-18 &amp;
Blue-26) Piano 44 Pcs</t>
  </si>
  <si>
    <t>Plastic Files Chanyi 36 Pcs</t>
  </si>
  <si>
    <t>Plastic folders My Clear Bag 24
Pcs</t>
  </si>
  <si>
    <t>Pointer uni.ball eye (Black-
9/Blue-3/Red-3) Unibal 12 Pcs</t>
  </si>
  <si>
    <t>Separater 4 Pcs (1 to 10)</t>
  </si>
  <si>
    <t>Sharpener 7 Pcs</t>
  </si>
  <si>
    <t>Transparent Tape 1inch
Caterpillar 22 Pcs</t>
  </si>
  <si>
    <t>Whito Pen Deer 8 Pcs</t>
  </si>
  <si>
    <t>Writing Pad (M) Winner 12 Pcs</t>
  </si>
  <si>
    <t>Marker stand 1 Pcs</t>
  </si>
  <si>
    <t>Stepler pin large Doller 30 Pkt</t>
  </si>
  <si>
    <t>Scale 3 Pcs</t>
  </si>
  <si>
    <t>Paper Cutter 2 Pcs</t>
  </si>
  <si>
    <t xml:space="preserve">Printer Paper A-4 size Paper One </t>
  </si>
  <si>
    <t xml:space="preserve">Stapler Pin Small </t>
  </si>
  <si>
    <t>Visiting Card Diary</t>
  </si>
  <si>
    <t>Uniball signo</t>
  </si>
  <si>
    <t>Green Paper Rim F4</t>
  </si>
  <si>
    <t>Dux Gel Pen</t>
  </si>
  <si>
    <r>
      <t xml:space="preserve">In Words : </t>
    </r>
    <r>
      <rPr>
        <sz val="10"/>
        <color theme="1"/>
        <rFont val="Calibri"/>
        <family val="2"/>
        <scheme val="minor"/>
      </rPr>
      <t>Thirty Two Thousand Three Hundred and Thirty Nine Only.</t>
    </r>
  </si>
  <si>
    <r>
      <t xml:space="preserve">In Words : </t>
    </r>
    <r>
      <rPr>
        <sz val="10"/>
        <color theme="1"/>
        <rFont val="Calibri"/>
        <family val="2"/>
        <scheme val="minor"/>
      </rPr>
      <t>Fourteen Thousand Five Hundred and Fourty Five Only</t>
    </r>
  </si>
  <si>
    <t>Invoice No. : Sinv-1118-06</t>
  </si>
  <si>
    <t>Invoice Date : 23rd November 2018</t>
  </si>
  <si>
    <t>PO 8800613322</t>
  </si>
  <si>
    <t>Energizer Cell AA</t>
  </si>
  <si>
    <t>Stapler Machine Fuji 24/6</t>
  </si>
  <si>
    <t>Measurement Tape</t>
  </si>
  <si>
    <t>Plastics Folder A/4 Size</t>
  </si>
  <si>
    <t>Piano Ball Pen 0.8mm</t>
  </si>
  <si>
    <t>Rose Petal Tissue Boxes Luxury</t>
  </si>
  <si>
    <t>Legal Paper Green 
100 Sheet</t>
  </si>
  <si>
    <t>Legal Paper White 
100 Sheet</t>
  </si>
  <si>
    <r>
      <t xml:space="preserve">In Words : </t>
    </r>
    <r>
      <rPr>
        <sz val="10"/>
        <color theme="1"/>
        <rFont val="Calibri"/>
        <family val="2"/>
        <scheme val="minor"/>
      </rPr>
      <t>Two Hundred Sixty Three Thousand and Seven Hundred Only.</t>
    </r>
  </si>
  <si>
    <t>Invoice Date : 14th December 2018</t>
  </si>
  <si>
    <t>Invoice No. : Sinv-1218-01</t>
  </si>
  <si>
    <t>PO 8800623623</t>
  </si>
  <si>
    <t>Legal Paper</t>
  </si>
  <si>
    <r>
      <t xml:space="preserve">In Words : </t>
    </r>
    <r>
      <rPr>
        <sz val="10"/>
        <color theme="1"/>
        <rFont val="Calibri"/>
        <family val="2"/>
        <scheme val="minor"/>
      </rPr>
      <t>Thirty Five Thousand and One Hundred only.</t>
    </r>
  </si>
  <si>
    <t>Invoice No. : Sinv-1218-02</t>
  </si>
  <si>
    <t>Invoice Date : 19th December 2018</t>
  </si>
  <si>
    <t>Sticker Sheet 12 Cut</t>
  </si>
  <si>
    <r>
      <t xml:space="preserve">In Words : </t>
    </r>
    <r>
      <rPr>
        <sz val="10"/>
        <color theme="1"/>
        <rFont val="Calibri"/>
        <family val="2"/>
        <scheme val="minor"/>
      </rPr>
      <t>Six Thousand One Hundred and Fourty Three Only</t>
    </r>
  </si>
  <si>
    <t>7th Floor, Emerald Tower, G-19, Block 5</t>
  </si>
  <si>
    <t>Main Clifton Road, Clifton Karachi</t>
  </si>
  <si>
    <t>Invoice Date : 31st December 2018</t>
  </si>
  <si>
    <t>Invoice No. : Sinv-1218-03</t>
  </si>
  <si>
    <t>Invoice Date : 9th January 2018</t>
  </si>
  <si>
    <t>Invoice No. : Sinv-0119-01</t>
  </si>
  <si>
    <t>Scotch Tape 1" x 50 Yards</t>
  </si>
  <si>
    <r>
      <t xml:space="preserve">In Words : </t>
    </r>
    <r>
      <rPr>
        <sz val="10"/>
        <color theme="1"/>
        <rFont val="Calibri"/>
        <family val="2"/>
        <scheme val="minor"/>
      </rPr>
      <t>Eighty Four Thousand Two Hundred and Fourty Only</t>
    </r>
  </si>
  <si>
    <r>
      <t xml:space="preserve">In Words : </t>
    </r>
    <r>
      <rPr>
        <sz val="10"/>
        <color theme="1"/>
        <rFont val="Calibri"/>
        <family val="2"/>
        <scheme val="minor"/>
      </rPr>
      <t>Eight Hundred and Fourty Two Only</t>
    </r>
  </si>
  <si>
    <t>Invoice No. : Sinv-0119-02</t>
  </si>
  <si>
    <t>Invoice Date : 25th January 2019</t>
  </si>
  <si>
    <t>Invoice No. : SInv-0119-03</t>
  </si>
  <si>
    <t>PO No. 1153</t>
  </si>
  <si>
    <t>Brush Wiper W/Handle</t>
  </si>
  <si>
    <t>Brush Cotton Mop</t>
  </si>
  <si>
    <t>Phenyle Loose Phenyle</t>
  </si>
  <si>
    <t>Glint Cleaner</t>
  </si>
  <si>
    <t>Handwash Lotion</t>
  </si>
  <si>
    <t>Wiper with Handle Medium Size</t>
  </si>
  <si>
    <t>Flush Cleaner Harpic</t>
  </si>
  <si>
    <t>Ltr</t>
  </si>
  <si>
    <r>
      <t xml:space="preserve">In Words : </t>
    </r>
    <r>
      <rPr>
        <sz val="10"/>
        <color theme="1"/>
        <rFont val="Calibri"/>
        <family val="2"/>
        <scheme val="minor"/>
      </rPr>
      <t>Fifteen Thousand Two Hundred and Fourty Five Only.</t>
    </r>
  </si>
  <si>
    <t>Invoice Date : 4th January 2019</t>
  </si>
  <si>
    <t>Invoice No. : Sinv-0119-04</t>
  </si>
  <si>
    <t>PO 8800638384</t>
  </si>
  <si>
    <t>White Board Marker</t>
  </si>
  <si>
    <t>Ball Pen Piano 0.8mm</t>
  </si>
  <si>
    <t>A4 Fastner File Transparent</t>
  </si>
  <si>
    <t>Pencil My Dollar</t>
  </si>
  <si>
    <t>Inventory Register</t>
  </si>
  <si>
    <t>Pointer Dollar Gel</t>
  </si>
  <si>
    <t>KCR Carbon Paper</t>
  </si>
  <si>
    <t>Rose Petal Tissue Maxob Roll</t>
  </si>
  <si>
    <r>
      <t xml:space="preserve">In Words : </t>
    </r>
    <r>
      <rPr>
        <sz val="10"/>
        <color theme="1"/>
        <rFont val="Calibri"/>
        <family val="2"/>
        <scheme val="minor"/>
      </rPr>
      <t>One Hundred Ninety Six Thousand One Hundred and Seventy Nine Only.</t>
    </r>
  </si>
  <si>
    <t>Invoice Date : 31st January 2018</t>
  </si>
  <si>
    <t>Invoice Date : 1st February 2019</t>
  </si>
  <si>
    <t>Invoice No. : Sinv-0219-01</t>
  </si>
  <si>
    <t>White Board 3x2</t>
  </si>
  <si>
    <t>White Board Stand</t>
  </si>
  <si>
    <t>Dollar White Borad Marker - Blue</t>
  </si>
  <si>
    <t>Dollar White Borad Marker - Black</t>
  </si>
  <si>
    <t>Dollar White Borad Marker - Red</t>
  </si>
  <si>
    <t>Dollar White Borad Marker - Green</t>
  </si>
  <si>
    <t>Duster</t>
  </si>
  <si>
    <r>
      <t xml:space="preserve">In Words : </t>
    </r>
    <r>
      <rPr>
        <sz val="10"/>
        <color theme="1"/>
        <rFont val="Calibri"/>
        <family val="2"/>
        <scheme val="minor"/>
      </rPr>
      <t>Four Thousand Five Hundred and Eighty Five Only</t>
    </r>
  </si>
  <si>
    <t>Invoice No. : Sinv-0219-02</t>
  </si>
  <si>
    <t>Signo Pen 0.7 - Blue</t>
  </si>
  <si>
    <t>Signo Pen 0.7 - Black</t>
  </si>
  <si>
    <t>Calculator CT-512</t>
  </si>
  <si>
    <t>Highlighter - Orange</t>
  </si>
  <si>
    <t>Rough Pad</t>
  </si>
  <si>
    <t>Casio Calculator DJ-120T</t>
  </si>
  <si>
    <t>Dollar My Pencil</t>
  </si>
  <si>
    <t>Glue Stick </t>
  </si>
  <si>
    <t>Ring File With Pocket</t>
  </si>
  <si>
    <t>Carton Tape 2"</t>
  </si>
  <si>
    <t>File</t>
  </si>
  <si>
    <t>Pad</t>
  </si>
  <si>
    <r>
      <t xml:space="preserve">In Words : </t>
    </r>
    <r>
      <rPr>
        <sz val="10"/>
        <color theme="1"/>
        <rFont val="Calibri"/>
        <family val="2"/>
        <scheme val="minor"/>
      </rPr>
      <t>Seventeen Thousand Four Hundred and Fifty Three Only.</t>
    </r>
  </si>
  <si>
    <t>Invoice No. : Sinv-0219-03</t>
  </si>
  <si>
    <t>Invoice Date : 8th February 2018</t>
  </si>
  <si>
    <t>Sticker Sheet A4Size White</t>
  </si>
  <si>
    <r>
      <t xml:space="preserve">In Words : </t>
    </r>
    <r>
      <rPr>
        <sz val="10"/>
        <color theme="1"/>
        <rFont val="Calibri"/>
        <family val="2"/>
        <scheme val="minor"/>
      </rPr>
      <t>One Thousand Four Hundred and Sixty Three only.</t>
    </r>
  </si>
  <si>
    <t>Invoice Date : 12th February 2018</t>
  </si>
  <si>
    <t>Invoice No. : Sinv-0219-04</t>
  </si>
  <si>
    <t>Thermopole Cup</t>
  </si>
  <si>
    <r>
      <t xml:space="preserve">In Words : </t>
    </r>
    <r>
      <rPr>
        <sz val="10"/>
        <color theme="1"/>
        <rFont val="Calibri"/>
        <family val="2"/>
        <scheme val="minor"/>
      </rPr>
      <t>One Hundred Thousand Eight Hundred and Ten only.</t>
    </r>
  </si>
  <si>
    <t>Invoice Date : 16st February 2019</t>
  </si>
  <si>
    <t>Invoice No. : Sinv-0219-05</t>
  </si>
  <si>
    <t>Dollar Clipper Ball Pen - Blue</t>
  </si>
  <si>
    <t>Dollar Clipper Ball Pen - Black</t>
  </si>
  <si>
    <t>Dollar Clipper Ball Pen - Red</t>
  </si>
  <si>
    <t>Dollar Highlighter Mix Color</t>
  </si>
  <si>
    <t>Dollar Permanent Marker - Black</t>
  </si>
  <si>
    <t>Half Separator (Each Packet 100 Card)</t>
  </si>
  <si>
    <t>Dollar Stapler Pin 24/6</t>
  </si>
  <si>
    <t>Post it Slip 3x3 Yellow Color</t>
  </si>
  <si>
    <t>Flag for Signature (Each Packet 5 Pcs)</t>
  </si>
  <si>
    <t>Binder Clip 2"</t>
  </si>
  <si>
    <t xml:space="preserve">Punch Machine </t>
  </si>
  <si>
    <t>Casio Calculator CT-512</t>
  </si>
  <si>
    <t>Deli Stapler Machine 0325</t>
  </si>
  <si>
    <t>Dust Bin Plastic Hight 12"</t>
  </si>
  <si>
    <t>Plastic Folder</t>
  </si>
  <si>
    <r>
      <t xml:space="preserve">In Words : </t>
    </r>
    <r>
      <rPr>
        <sz val="10"/>
        <color theme="1"/>
        <rFont val="Calibri"/>
        <family val="2"/>
        <scheme val="minor"/>
      </rPr>
      <t>Fourteen Thousand Nine Hundred Ninty Six Only,</t>
    </r>
  </si>
  <si>
    <t>Scotch Tape 1" x 50 yard</t>
  </si>
  <si>
    <t>Paper Clip 36mm</t>
  </si>
  <si>
    <t>Highlighter</t>
  </si>
  <si>
    <t>Dollar Ball Pen - Black</t>
  </si>
  <si>
    <t>Dollar Ball Pen - Blue</t>
  </si>
  <si>
    <t>Post it Notes</t>
  </si>
  <si>
    <t>Writing Pad Small</t>
  </si>
  <si>
    <t>Pin Opner</t>
  </si>
  <si>
    <t>Stapler Machine 24/6</t>
  </si>
  <si>
    <t>Dollar Permanenet Marker Blue</t>
  </si>
  <si>
    <t>Dollar Permanenet Marker Black</t>
  </si>
  <si>
    <t xml:space="preserve">Rubber Band </t>
  </si>
  <si>
    <t>Steel Scale</t>
  </si>
  <si>
    <r>
      <t xml:space="preserve">In Words : </t>
    </r>
    <r>
      <rPr>
        <sz val="10"/>
        <color theme="1"/>
        <rFont val="Calibri"/>
        <family val="2"/>
        <scheme val="minor"/>
      </rPr>
      <t>Four Thousand Eight Hundred Thirty Eight Only,</t>
    </r>
  </si>
  <si>
    <t>Invoice No. : Sinv-0219-06</t>
  </si>
  <si>
    <t>Invoice Date : 26th February 2019</t>
  </si>
  <si>
    <t>Invoice No. : Sinv-0219-07</t>
  </si>
  <si>
    <t>Imported Box File with Pocket 24mm</t>
  </si>
  <si>
    <r>
      <t xml:space="preserve">In Words : </t>
    </r>
    <r>
      <rPr>
        <sz val="10"/>
        <color theme="1"/>
        <rFont val="Calibri"/>
        <family val="2"/>
        <scheme val="minor"/>
      </rPr>
      <t>Three Thousand Eight Hundred and Sixty One Only,</t>
    </r>
  </si>
  <si>
    <t>Invoice No. : Sinv-0219-08</t>
  </si>
  <si>
    <t>Invoice Date : 27th February 2019</t>
  </si>
  <si>
    <t>BRUSH WIPER W/HANDLE Best Quality</t>
  </si>
  <si>
    <t>BRUSH COTTON (MOP)</t>
  </si>
  <si>
    <t>GLINT CLEANER in Loose</t>
  </si>
  <si>
    <t>HAND WASH LOTION</t>
  </si>
  <si>
    <t>WIPER WITH HANDLE MEDIUM SIZE . Wooden Stick hanger type
assembly Best Quality</t>
  </si>
  <si>
    <t>PERFIUME JASMINE Local</t>
  </si>
  <si>
    <t>No</t>
  </si>
  <si>
    <r>
      <t xml:space="preserve">In Words : </t>
    </r>
    <r>
      <rPr>
        <sz val="10"/>
        <color theme="1"/>
        <rFont val="Calibri"/>
        <family val="2"/>
        <scheme val="minor"/>
      </rPr>
      <t>Twelve Thousand Nine Hundred and Twenty Nine Only.</t>
    </r>
  </si>
  <si>
    <t>Invoice No. : Sinv-0319-01</t>
  </si>
  <si>
    <t>Invoice Date : 6th March 2018</t>
  </si>
  <si>
    <t>Invoice No. : Sinv-0319-02</t>
  </si>
  <si>
    <t>Sticker Sheet 33 Cut</t>
  </si>
  <si>
    <t>Invoice No. : Sinv-0319-03</t>
  </si>
  <si>
    <t>Thermal Roll Size 79/80</t>
  </si>
  <si>
    <r>
      <t xml:space="preserve">In Words : </t>
    </r>
    <r>
      <rPr>
        <sz val="10"/>
        <color theme="1"/>
        <rFont val="Calibri"/>
        <family val="2"/>
        <scheme val="minor"/>
      </rPr>
      <t>Four Thousand Four Hundred and Fourty Six Only</t>
    </r>
  </si>
  <si>
    <r>
      <t xml:space="preserve">In Words : </t>
    </r>
    <r>
      <rPr>
        <sz val="10"/>
        <color theme="1"/>
        <rFont val="Calibri"/>
        <family val="2"/>
        <scheme val="minor"/>
      </rPr>
      <t>Nine Thousand Six Hundred and Fifty Three Only.</t>
    </r>
  </si>
  <si>
    <t>Invoice Date : 13th March 2018</t>
  </si>
  <si>
    <t>Hi-Tech Alloy Wheels Ltd.</t>
  </si>
  <si>
    <t>Plot 23, Sector 19, Korangi Industrial Area</t>
  </si>
  <si>
    <t>Karachi-74900</t>
  </si>
  <si>
    <t>NTN 7378657-7</t>
  </si>
  <si>
    <t>PR-CF279A ( New Compatible Toner )</t>
  </si>
  <si>
    <r>
      <t xml:space="preserve">In Words : </t>
    </r>
    <r>
      <rPr>
        <sz val="10"/>
        <color theme="1"/>
        <rFont val="Calibri"/>
        <family val="2"/>
        <scheme val="minor"/>
      </rPr>
      <t>Eleven Thousand Two Hundred and Thirty Two Only.</t>
    </r>
  </si>
  <si>
    <t>05, Ground Floor, Sunny Plaza</t>
  </si>
  <si>
    <t>Ph: +92-21-32620098-99</t>
  </si>
  <si>
    <t>Invoice No. : Sinv-0319-04</t>
  </si>
  <si>
    <t>Invoice No. : Sinv-0319-05</t>
  </si>
  <si>
    <t>Loads Limited</t>
  </si>
  <si>
    <t>NTN 0944311-8</t>
  </si>
  <si>
    <t>PR-CF280A ( New Compatible Toner )</t>
  </si>
  <si>
    <t>PR-CE390A ( New Compatible Toner )</t>
  </si>
  <si>
    <r>
      <t xml:space="preserve">In Words : </t>
    </r>
    <r>
      <rPr>
        <sz val="10"/>
        <color theme="1"/>
        <rFont val="Calibri"/>
        <family val="2"/>
        <scheme val="minor"/>
      </rPr>
      <t>Twenty Six Thousand Three Hundred and Twenty Five Only.</t>
    </r>
  </si>
  <si>
    <t>Invoice No. : Sinv-0319-06</t>
  </si>
  <si>
    <t>Invoice Date : 13th March 2019</t>
  </si>
  <si>
    <t>Wiper with Handle</t>
  </si>
  <si>
    <t>Duster Cloth Good Quality</t>
  </si>
  <si>
    <t>Pencil Cell AAA Toshiba</t>
  </si>
  <si>
    <t>Dust Bin for Office Use</t>
  </si>
  <si>
    <t>File Cover Flat Good Quality</t>
  </si>
  <si>
    <t>File Lever Index Box File Korona</t>
  </si>
  <si>
    <t>Paper Tape 1"</t>
  </si>
  <si>
    <t>Pencil Black Lead Picasso Executive</t>
  </si>
  <si>
    <t>Stapler Pin Dollar 24/6</t>
  </si>
  <si>
    <t>Paper Tray Plastic Good Quality</t>
  </si>
  <si>
    <t>Black Marker Dollar</t>
  </si>
  <si>
    <t>Red Marker Dollar</t>
  </si>
  <si>
    <r>
      <t xml:space="preserve">In Words : </t>
    </r>
    <r>
      <rPr>
        <sz val="10"/>
        <color theme="1"/>
        <rFont val="Calibri"/>
        <family val="2"/>
        <scheme val="minor"/>
      </rPr>
      <t>Fourty Nine Thousand Seven Hundred and Eighty Five Only.</t>
    </r>
  </si>
  <si>
    <t>Invoice Date : 28th March 2019</t>
  </si>
  <si>
    <t>Invoice No. : Sinv-0319-07</t>
  </si>
  <si>
    <t>Clear Bag Transparent</t>
  </si>
  <si>
    <r>
      <t xml:space="preserve">In Words : </t>
    </r>
    <r>
      <rPr>
        <sz val="10"/>
        <color theme="1"/>
        <rFont val="Calibri"/>
        <family val="2"/>
        <scheme val="minor"/>
      </rPr>
      <t>Six Hundred and Seventy Four Only</t>
    </r>
  </si>
  <si>
    <t>Invoice Date : 3rd April 2019</t>
  </si>
  <si>
    <t>Invoice No. : Sinv-0419-01</t>
  </si>
  <si>
    <t>Hamdard Laboratories (Waqf) Pakistan</t>
  </si>
  <si>
    <t xml:space="preserve">Al Majeed Center, Block 3, Nazimabad, </t>
  </si>
  <si>
    <t>NTN 0700900-3, GST 02-02-21-06-001-37</t>
  </si>
  <si>
    <t>File Hanger</t>
  </si>
  <si>
    <t>Sticky Notes ( 3x3" )</t>
  </si>
  <si>
    <r>
      <t xml:space="preserve">In Words : </t>
    </r>
    <r>
      <rPr>
        <sz val="10"/>
        <color theme="1"/>
        <rFont val="Calibri"/>
        <family val="2"/>
        <scheme val="minor"/>
      </rPr>
      <t>One Thousand Nine Hundred and Twenty Five Only</t>
    </r>
  </si>
  <si>
    <t>Invoice No. : Sinv-0419-02</t>
  </si>
  <si>
    <t>PO No. 0007354</t>
  </si>
  <si>
    <t>PO No. 0007355</t>
  </si>
  <si>
    <t>Scale Wood / Steel</t>
  </si>
  <si>
    <t>Reg. Six Dasti ( 300 Pages )</t>
  </si>
  <si>
    <t>Gattis Rubber Packet 50gm No. 4</t>
  </si>
  <si>
    <r>
      <t xml:space="preserve">In Words : </t>
    </r>
    <r>
      <rPr>
        <sz val="10"/>
        <color theme="1"/>
        <rFont val="Calibri"/>
        <family val="2"/>
        <scheme val="minor"/>
      </rPr>
      <t>Nine Thousand Five Hundred and Seven Only.</t>
    </r>
  </si>
  <si>
    <t>Invoice No. : Sinv-0419-03</t>
  </si>
  <si>
    <t>Pencil Gold Fish</t>
  </si>
  <si>
    <t>Imported Ring File</t>
  </si>
  <si>
    <t>Toshiba Cell AAA</t>
  </si>
  <si>
    <t>Imported Regsiter 160 Pages</t>
  </si>
  <si>
    <t>Rough Pad A4 Size</t>
  </si>
  <si>
    <t>Imported Box file with pocket</t>
  </si>
  <si>
    <r>
      <t xml:space="preserve">In Words : </t>
    </r>
    <r>
      <rPr>
        <sz val="10"/>
        <color theme="1"/>
        <rFont val="Calibri"/>
        <family val="2"/>
        <scheme val="minor"/>
      </rPr>
      <t>Ten Thousand Nine Hundred and Eighty Seven Only.</t>
    </r>
  </si>
  <si>
    <t>Invoice No. : Sinv-0419-04</t>
  </si>
  <si>
    <t>Invoice Date : 9th April 2019</t>
  </si>
  <si>
    <t>PO No. 2293</t>
  </si>
  <si>
    <t>PR-CF226A ( New Compatible Toner )</t>
  </si>
  <si>
    <t>PR-CE285A ( New Compatible Toner )</t>
  </si>
  <si>
    <r>
      <t xml:space="preserve">In Words : </t>
    </r>
    <r>
      <rPr>
        <sz val="10"/>
        <color theme="1"/>
        <rFont val="Calibri"/>
        <family val="2"/>
        <scheme val="minor"/>
      </rPr>
      <t>Eighty Seven Thousand Two Hundred and Eighty Two Only.</t>
    </r>
  </si>
  <si>
    <t>Invoice No. : Sinv-0419-05</t>
  </si>
  <si>
    <t>PO No. 261</t>
  </si>
  <si>
    <t>Multiple Autoparts Industries Pvt. Ltd.</t>
  </si>
  <si>
    <r>
      <t xml:space="preserve">In Words : </t>
    </r>
    <r>
      <rPr>
        <sz val="10"/>
        <color theme="1"/>
        <rFont val="Calibri"/>
        <family val="2"/>
        <scheme val="minor"/>
      </rPr>
      <t>Fifty Thousand and Seventy Six Only</t>
    </r>
  </si>
  <si>
    <t>Invoice No. : Sinv-0419-06</t>
  </si>
  <si>
    <t>PO No. 776</t>
  </si>
  <si>
    <t>Specialized Autoparts Industries Pvt. Ltd.</t>
  </si>
  <si>
    <t>DSU 19, Pakistan Steel Industries Estate</t>
  </si>
  <si>
    <t>Bin Qasim , Karachi</t>
  </si>
  <si>
    <t>NTN 2151776-2</t>
  </si>
  <si>
    <t>PR-48A ( New Compatible Toner )</t>
  </si>
  <si>
    <r>
      <t xml:space="preserve">In Words : </t>
    </r>
    <r>
      <rPr>
        <sz val="10"/>
        <color theme="1"/>
        <rFont val="Calibri"/>
        <family val="2"/>
        <scheme val="minor"/>
      </rPr>
      <t>Seventy Thousand Nine Hundred and Two Only</t>
    </r>
  </si>
  <si>
    <t>Invoice Date : 11th April 2019</t>
  </si>
  <si>
    <t>Sticker Sheet A4 Size White</t>
  </si>
  <si>
    <r>
      <t xml:space="preserve">In Words : </t>
    </r>
    <r>
      <rPr>
        <sz val="10"/>
        <color theme="1"/>
        <rFont val="Calibri"/>
        <family val="2"/>
        <scheme val="minor"/>
      </rPr>
      <t>One Thousand Nine Hundred and Eighty Nine Only.</t>
    </r>
  </si>
  <si>
    <t>Invoice Date : 15th April 2019</t>
  </si>
  <si>
    <t>Invoice No. : Sinv-0419-08</t>
  </si>
  <si>
    <t>PO No. 0007380</t>
  </si>
  <si>
    <t>Scissors (Small)</t>
  </si>
  <si>
    <t>Paper Tray Double</t>
  </si>
  <si>
    <r>
      <t xml:space="preserve">In Words : </t>
    </r>
    <r>
      <rPr>
        <sz val="10"/>
        <color theme="1"/>
        <rFont val="Calibri"/>
        <family val="2"/>
        <scheme val="minor"/>
      </rPr>
      <t>Three Thousand Six Hundred and Seventy Four Only.</t>
    </r>
  </si>
  <si>
    <t>Invoice No. : Sinv-0419-09</t>
  </si>
  <si>
    <t>GST 17% Amount</t>
  </si>
  <si>
    <t>Punching Machine</t>
  </si>
  <si>
    <r>
      <t xml:space="preserve">In Words : </t>
    </r>
    <r>
      <rPr>
        <sz val="10"/>
        <color theme="1"/>
        <rFont val="Calibri"/>
        <family val="2"/>
        <scheme val="minor"/>
      </rPr>
      <t>Two Thousand One Hundred and Seventy Six Only.</t>
    </r>
  </si>
  <si>
    <t>PO No. 0007379</t>
  </si>
  <si>
    <t>Invoice No. : Sinv-0419-10</t>
  </si>
  <si>
    <t>Invoice Date : 23rd April 2019</t>
  </si>
  <si>
    <t>Legal Papers</t>
  </si>
  <si>
    <t>Rs. 200</t>
  </si>
  <si>
    <r>
      <t xml:space="preserve">In Words : </t>
    </r>
    <r>
      <rPr>
        <sz val="10"/>
        <color theme="1"/>
        <rFont val="Calibri"/>
        <family val="2"/>
        <scheme val="minor"/>
      </rPr>
      <t>Thirty Five Thousand One Hundred Only.</t>
    </r>
  </si>
  <si>
    <t>Invoice No. : Sinv-0419-11</t>
  </si>
  <si>
    <t>Invoice Date : 24th April 2019</t>
  </si>
  <si>
    <t>Imported Box File 24mm</t>
  </si>
  <si>
    <t>Main Clifton Road, Clifton, Karachi Pakistan</t>
  </si>
  <si>
    <t>Invoice No. : Sinv-0419-12</t>
  </si>
  <si>
    <t>Surf Powder Loose in Kg</t>
  </si>
  <si>
    <t>Glint Cleaner in Loose</t>
  </si>
  <si>
    <t>Harpic for Toilet</t>
  </si>
  <si>
    <t>Hand Wash Lotion</t>
  </si>
  <si>
    <t>Liter</t>
  </si>
  <si>
    <r>
      <t xml:space="preserve">In Words : </t>
    </r>
    <r>
      <rPr>
        <sz val="10"/>
        <color theme="1"/>
        <rFont val="Calibri"/>
        <family val="2"/>
        <scheme val="minor"/>
      </rPr>
      <t>Sixteen Thousand Five Hundred and Twelve Only.</t>
    </r>
  </si>
  <si>
    <t>PO No. 1858</t>
  </si>
  <si>
    <t>Invoice No. : Sinv-0419-13</t>
  </si>
  <si>
    <t>Invoice Date : 26th April 2019</t>
  </si>
  <si>
    <t>Paper One 70 Gram A4 Size</t>
  </si>
  <si>
    <t>Paper One 70 Gram F4 Size</t>
  </si>
  <si>
    <r>
      <t xml:space="preserve">In Words : </t>
    </r>
    <r>
      <rPr>
        <sz val="10"/>
        <color theme="1"/>
        <rFont val="Calibri"/>
        <family val="2"/>
        <scheme val="minor"/>
      </rPr>
      <t>Eighteen Thousand Two Hundred and Five Only.</t>
    </r>
  </si>
  <si>
    <r>
      <t xml:space="preserve">In Words : </t>
    </r>
    <r>
      <rPr>
        <sz val="10"/>
        <color theme="1"/>
        <rFont val="Calibri"/>
        <family val="2"/>
        <scheme val="minor"/>
      </rPr>
      <t>One Thousand Seven Hundred and Eighty Four Only.</t>
    </r>
  </si>
  <si>
    <t>Invoice Date : 29th April 2019</t>
  </si>
  <si>
    <t>Invoice No. : Sinv-0419-14</t>
  </si>
  <si>
    <r>
      <t xml:space="preserve">In Words : </t>
    </r>
    <r>
      <rPr>
        <sz val="10"/>
        <color theme="1"/>
        <rFont val="Calibri"/>
        <family val="2"/>
        <scheme val="minor"/>
      </rPr>
      <t>Three Thousand Six Hundred and Sixty One Only.</t>
    </r>
  </si>
  <si>
    <t>NTN 2257670-3</t>
  </si>
  <si>
    <t>Invoice No. : Sinv-0419-07</t>
  </si>
  <si>
    <t>Invoice No. : Sinv-0519-01</t>
  </si>
  <si>
    <t>Invoice Date : 8th May 2019</t>
  </si>
  <si>
    <t>BLC 70Gram A4 Size</t>
  </si>
  <si>
    <r>
      <t xml:space="preserve">In Words : </t>
    </r>
    <r>
      <rPr>
        <sz val="10"/>
        <color theme="1"/>
        <rFont val="Calibri"/>
        <family val="2"/>
        <scheme val="minor"/>
      </rPr>
      <t>Eighty Four Thousand Nine Hundred and Fourty Two Only.</t>
    </r>
  </si>
  <si>
    <t>Invoice No. : Sinv-0519-02</t>
  </si>
  <si>
    <t>Invoice Date : 9th May 2019</t>
  </si>
  <si>
    <t>PO 8800671663</t>
  </si>
  <si>
    <t>Piano Ball Pen</t>
  </si>
  <si>
    <t>Paper Tray Metal 3 Step</t>
  </si>
  <si>
    <t>Sticky Notex 3x4 Yellow</t>
  </si>
  <si>
    <t>Plastic Cup White</t>
  </si>
  <si>
    <t>Invoice No. : Sinv-0519-03</t>
  </si>
  <si>
    <r>
      <t xml:space="preserve">In Words : </t>
    </r>
    <r>
      <rPr>
        <sz val="10"/>
        <color theme="1"/>
        <rFont val="Calibri"/>
        <family val="2"/>
        <scheme val="minor"/>
      </rPr>
      <t>Ninety One Thousand Two Hundred and Sixty Only.</t>
    </r>
  </si>
  <si>
    <r>
      <t xml:space="preserve">In Words : </t>
    </r>
    <r>
      <rPr>
        <sz val="10"/>
        <color theme="1"/>
        <rFont val="Calibri"/>
        <family val="2"/>
        <scheme val="minor"/>
      </rPr>
      <t>Fifty Two Thousand Six Hundred and Fifty Only</t>
    </r>
  </si>
  <si>
    <t>Invoice No. : Sinv-0519-04</t>
  </si>
  <si>
    <r>
      <t xml:space="preserve">In Words : </t>
    </r>
    <r>
      <rPr>
        <sz val="10"/>
        <color theme="1"/>
        <rFont val="Calibri"/>
        <family val="2"/>
        <scheme val="minor"/>
      </rPr>
      <t>Two Hundred Fourty Four Thousand Two Hundred and Seventy Eight Only</t>
    </r>
  </si>
  <si>
    <t>PO 2615</t>
  </si>
  <si>
    <t>Invoice Date : 16th May 2019</t>
  </si>
  <si>
    <t>PO 884</t>
  </si>
  <si>
    <t>PO 295</t>
  </si>
  <si>
    <t>Invoice No. : Sinv-0519-05</t>
  </si>
  <si>
    <t>PO No. 1992</t>
  </si>
  <si>
    <t>Toilet Paper</t>
  </si>
  <si>
    <r>
      <t xml:space="preserve">In Words : </t>
    </r>
    <r>
      <rPr>
        <sz val="10"/>
        <color theme="1"/>
        <rFont val="Calibri"/>
        <family val="2"/>
        <scheme val="minor"/>
      </rPr>
      <t>Three Thousand Six Hundred and Fifteen Only.</t>
    </r>
  </si>
  <si>
    <t>Invoice Date : 20th May 2019</t>
  </si>
  <si>
    <t>Invoice No. : Sinv-0519-06</t>
  </si>
  <si>
    <t>PO No. 7457</t>
  </si>
  <si>
    <t>Paper Yellow A4 Size - 70gram</t>
  </si>
  <si>
    <t>Paper Green A4 Size - 70gram</t>
  </si>
  <si>
    <t>Paper Red A4 Size - 70gram</t>
  </si>
  <si>
    <t>Invoice No. : Sinv-0519-07</t>
  </si>
  <si>
    <t>PO No. 7458</t>
  </si>
  <si>
    <t>Stamp Pad 2m</t>
  </si>
  <si>
    <t>Ball Pen Red</t>
  </si>
  <si>
    <t>Pin Cushion</t>
  </si>
  <si>
    <t>Marker Black Refilable 90</t>
  </si>
  <si>
    <t>Computer Paper P-1 15"x11"</t>
  </si>
  <si>
    <t>Paper Blue A4 Size - 70gram</t>
  </si>
  <si>
    <r>
      <t xml:space="preserve">In Words : </t>
    </r>
    <r>
      <rPr>
        <sz val="10"/>
        <color theme="1"/>
        <rFont val="Calibri"/>
        <family val="2"/>
        <scheme val="minor"/>
      </rPr>
      <t>Twenty Three Thousand Three Hundred and eighty six Only.</t>
    </r>
  </si>
  <si>
    <t>Invoice No. : Sinv-0519-08</t>
  </si>
  <si>
    <t>PO No. 2087</t>
  </si>
  <si>
    <t>DETTOL SURFACE CLEANER 1Litre Bottle</t>
  </si>
  <si>
    <t>PHENYLE LIQUID BIG SIZE . Daily Mop Perfumed White Diluted
Phenyl 2.75 Litre</t>
  </si>
  <si>
    <t>CELL FOR T.V REMOTE 1.5V ( AAA ) Toshiba Heavy
Duty(40Cells Per Box)</t>
  </si>
  <si>
    <t>HAND GLOVES DISPOSABLE Safety Surgical - Medicative
Gloves(50 Pair per Box)</t>
  </si>
  <si>
    <t>HARPIC FOR TOILET Cleaner-Blue 1Litre</t>
  </si>
  <si>
    <t>PHOOL JHAROO Plastic</t>
  </si>
  <si>
    <r>
      <t xml:space="preserve">In Words : </t>
    </r>
    <r>
      <rPr>
        <sz val="10"/>
        <color theme="1"/>
        <rFont val="Calibri"/>
        <family val="2"/>
        <scheme val="minor"/>
      </rPr>
      <t>Six Thousand One Hundred and Seventy Eight Only.</t>
    </r>
  </si>
  <si>
    <t>Invoice Date : 24th May 2019</t>
  </si>
  <si>
    <t>Invoice No. : Sinv-0519-09</t>
  </si>
  <si>
    <t>Invoice Date : 30th May 2019</t>
  </si>
  <si>
    <t>Invoice No. : Sinv-0519-10</t>
  </si>
  <si>
    <t>Notices Board 24x36 Grey Color Good</t>
  </si>
  <si>
    <t>Notices Board 16x44 Grey Color Good</t>
  </si>
  <si>
    <t>White Board 4x5 Fit Good Quality</t>
  </si>
  <si>
    <r>
      <t xml:space="preserve">In Words : </t>
    </r>
    <r>
      <rPr>
        <sz val="10"/>
        <color theme="1"/>
        <rFont val="Calibri"/>
        <family val="2"/>
        <scheme val="minor"/>
      </rPr>
      <t>Ten Thousand Eight Hundred and Ninety Three Only</t>
    </r>
  </si>
  <si>
    <t>Invoice No. : Sinv-0519-11</t>
  </si>
  <si>
    <t>Stamp Paper Value 200</t>
  </si>
  <si>
    <r>
      <t xml:space="preserve">In Words : </t>
    </r>
    <r>
      <rPr>
        <sz val="10"/>
        <color theme="1"/>
        <rFont val="Calibri"/>
        <family val="2"/>
        <scheme val="minor"/>
      </rPr>
      <t>Thirty Seven Thousand Four Hundred and Fourty Only</t>
    </r>
  </si>
  <si>
    <t>Invoice No. : Sinv-0619-01</t>
  </si>
  <si>
    <t>Invoice Date : 3rd June 2019</t>
  </si>
  <si>
    <t>PO 309</t>
  </si>
  <si>
    <r>
      <t xml:space="preserve">In Words : </t>
    </r>
    <r>
      <rPr>
        <sz val="10"/>
        <color theme="1"/>
        <rFont val="Calibri"/>
        <family val="2"/>
        <scheme val="minor"/>
      </rPr>
      <t>Twenty Five Thousand and Thirty Eight Only</t>
    </r>
  </si>
  <si>
    <t>Invoice No. : Sinv-0619-02</t>
  </si>
  <si>
    <t>PO 2731</t>
  </si>
  <si>
    <r>
      <t xml:space="preserve">In Words : </t>
    </r>
    <r>
      <rPr>
        <sz val="10"/>
        <color theme="1"/>
        <rFont val="Calibri"/>
        <family val="2"/>
        <scheme val="minor"/>
      </rPr>
      <t>Seventy Two Thousand Five Hundred and Fourty Only.</t>
    </r>
  </si>
  <si>
    <t>Invoice No. : Sinv-0619-03</t>
  </si>
  <si>
    <t>PO 930</t>
  </si>
  <si>
    <t>PR-CF248A ( New Compatible Toner )</t>
  </si>
  <si>
    <r>
      <t xml:space="preserve">In Words : </t>
    </r>
    <r>
      <rPr>
        <sz val="10"/>
        <color theme="1"/>
        <rFont val="Calibri"/>
        <family val="2"/>
        <scheme val="minor"/>
      </rPr>
      <t>Fourty Five Thousand Seven Hundred and Fourty Seven Only</t>
    </r>
  </si>
  <si>
    <t>Invoice No. : Sinv-0619-04</t>
  </si>
  <si>
    <t>PO 23</t>
  </si>
  <si>
    <r>
      <t xml:space="preserve">In Words : </t>
    </r>
    <r>
      <rPr>
        <sz val="10"/>
        <color theme="1"/>
        <rFont val="Calibri"/>
        <family val="2"/>
        <scheme val="minor"/>
      </rPr>
      <t>Seven Thousand Four Hundred and Eighty Eight Only</t>
    </r>
  </si>
  <si>
    <r>
      <t xml:space="preserve">In Words : </t>
    </r>
    <r>
      <rPr>
        <sz val="10"/>
        <color rgb="FFFF0000"/>
        <rFont val="Calibri"/>
        <family val="2"/>
        <scheme val="minor"/>
      </rPr>
      <t>Six Thousand and sixty one Only.</t>
    </r>
  </si>
  <si>
    <t>Invoice No. : Sinv-0619-05</t>
  </si>
  <si>
    <t>Ball Pen Blue and Black</t>
  </si>
  <si>
    <r>
      <t xml:space="preserve">In Words : </t>
    </r>
    <r>
      <rPr>
        <sz val="10"/>
        <color theme="1"/>
        <rFont val="Calibri"/>
        <family val="2"/>
        <scheme val="minor"/>
      </rPr>
      <t>Fourteen Thousand Only.</t>
    </r>
  </si>
  <si>
    <t>PO No. 7474</t>
  </si>
  <si>
    <t>Invoice Date : 14th June 2019</t>
  </si>
  <si>
    <t>Invoice No. : Sinv-0619-06</t>
  </si>
  <si>
    <t>Invoice Date : 18th June 2019</t>
  </si>
  <si>
    <t>Air Wick Freshner 240ml</t>
  </si>
  <si>
    <t>Dux Sharpener</t>
  </si>
  <si>
    <t>Eraser Pelikan</t>
  </si>
  <si>
    <r>
      <t xml:space="preserve">In Words : </t>
    </r>
    <r>
      <rPr>
        <sz val="10"/>
        <color theme="1"/>
        <rFont val="Calibri"/>
        <family val="2"/>
        <scheme val="minor"/>
      </rPr>
      <t>One Hundred Thirty Nine Thousand Four Hundred and Sixty Four Only</t>
    </r>
  </si>
  <si>
    <t>Invoice No. : Sinv-0619-07</t>
  </si>
  <si>
    <t>PO No. 7496</t>
  </si>
  <si>
    <t>Invoice No. : Sinv-0619-08</t>
  </si>
  <si>
    <t>PO No. 7497</t>
  </si>
  <si>
    <t>Staple Remover</t>
  </si>
  <si>
    <t xml:space="preserve">Gattis Rubber </t>
  </si>
  <si>
    <r>
      <t xml:space="preserve">In Words : </t>
    </r>
    <r>
      <rPr>
        <sz val="10"/>
        <color theme="1"/>
        <rFont val="Calibri"/>
        <family val="2"/>
        <scheme val="minor"/>
      </rPr>
      <t>Nine Thousand and Thirty Seven Only</t>
    </r>
  </si>
  <si>
    <t>Paper Weight</t>
  </si>
  <si>
    <t>Reg. Two Dasti (100 Pages)</t>
  </si>
  <si>
    <t>Water pad</t>
  </si>
  <si>
    <t>Gum Stick 20gram</t>
  </si>
  <si>
    <t>Gattis Rubber 400gram No. 2</t>
  </si>
  <si>
    <r>
      <t xml:space="preserve">In Words : </t>
    </r>
    <r>
      <rPr>
        <sz val="10"/>
        <color theme="1"/>
        <rFont val="Calibri"/>
        <family val="2"/>
        <scheme val="minor"/>
      </rPr>
      <t>Twenty Five Thousand Seven Hundred and Fourty Nine Only</t>
    </r>
  </si>
  <si>
    <t>Invoice No. : Sinv-0619-09</t>
  </si>
  <si>
    <t>Invoice Date : 20th June 2019</t>
  </si>
  <si>
    <r>
      <t xml:space="preserve">In Words : </t>
    </r>
    <r>
      <rPr>
        <sz val="10"/>
        <color theme="1"/>
        <rFont val="Calibri"/>
        <family val="2"/>
        <scheme val="minor"/>
      </rPr>
      <t>Four Thousand Two Hundred and Thirty Five Only</t>
    </r>
  </si>
  <si>
    <t>Invoice No. : Sinv-0719-01</t>
  </si>
  <si>
    <t>Invoice Date : 2nd July 2019</t>
  </si>
  <si>
    <t>PO 26</t>
  </si>
  <si>
    <r>
      <t xml:space="preserve">In Words : </t>
    </r>
    <r>
      <rPr>
        <sz val="10"/>
        <color theme="1"/>
        <rFont val="Calibri"/>
        <family val="2"/>
        <scheme val="minor"/>
      </rPr>
      <t>Twenty Thousand Four Hundred and Seventy Five Only</t>
    </r>
  </si>
  <si>
    <t>Invoice No. : Sinv-0719-02</t>
  </si>
  <si>
    <t>PO 331</t>
  </si>
  <si>
    <t>Plot no. 23, Sector 19, Korangi Industrial Area</t>
  </si>
  <si>
    <t>Karachi - 74900</t>
  </si>
  <si>
    <t>Invoice No. : Sinv-0719-03</t>
  </si>
  <si>
    <t>PO 982</t>
  </si>
  <si>
    <r>
      <t xml:space="preserve">In Words : </t>
    </r>
    <r>
      <rPr>
        <sz val="10"/>
        <color theme="1"/>
        <rFont val="Calibri"/>
        <family val="2"/>
        <scheme val="minor"/>
      </rPr>
      <t>Fifty Seven Thousand Nine Hundred and Fifteen Only</t>
    </r>
  </si>
  <si>
    <t>Invoice No. : Sinv-0719-04</t>
  </si>
  <si>
    <t>PO 2957</t>
  </si>
  <si>
    <r>
      <t xml:space="preserve">In Words : </t>
    </r>
    <r>
      <rPr>
        <sz val="10"/>
        <color theme="1"/>
        <rFont val="Calibri"/>
        <family val="2"/>
        <scheme val="minor"/>
      </rPr>
      <t>Twelve Thousand Eight Hundred and Seventy Only.</t>
    </r>
  </si>
  <si>
    <t>Invoice Date : 4th July 2019</t>
  </si>
  <si>
    <t>Invoice No. : Sinv-0719-05</t>
  </si>
  <si>
    <t>PO No. 037</t>
  </si>
  <si>
    <t>Flush Cleaner ( Harpic )</t>
  </si>
  <si>
    <t>No.</t>
  </si>
  <si>
    <r>
      <t xml:space="preserve">In Words : </t>
    </r>
    <r>
      <rPr>
        <sz val="10"/>
        <color theme="1"/>
        <rFont val="Calibri"/>
        <family val="2"/>
        <scheme val="minor"/>
      </rPr>
      <t>Four Thousand Six Hundred and Sixty Eight Only.</t>
    </r>
  </si>
  <si>
    <t>Invoice No. : Sinv-0719-06</t>
  </si>
  <si>
    <t>Invoice Date : July 2019</t>
  </si>
  <si>
    <t>Invoice No. : Sinv-0719-07</t>
  </si>
  <si>
    <r>
      <t xml:space="preserve">In Words : </t>
    </r>
    <r>
      <rPr>
        <sz val="10"/>
        <color theme="1"/>
        <rFont val="Calibri"/>
        <family val="2"/>
        <scheme val="minor"/>
      </rPr>
      <t>Eight Thousand Seven Hundred and Seventy Five Only.</t>
    </r>
  </si>
  <si>
    <t>Invoice No. : Sinv-0719-08</t>
  </si>
  <si>
    <r>
      <t xml:space="preserve">In Words : </t>
    </r>
    <r>
      <rPr>
        <sz val="10"/>
        <color theme="1"/>
        <rFont val="Calibri"/>
        <family val="2"/>
        <scheme val="minor"/>
      </rPr>
      <t>Fourteen Thousand Six Hundred and Twenty Five Only</t>
    </r>
  </si>
  <si>
    <t>Invoice Date : 10th July 2019</t>
  </si>
  <si>
    <t>Invoice No. : Sinv-0719-09</t>
  </si>
  <si>
    <t>PO No. 071</t>
  </si>
  <si>
    <t>Invoice No. : Sinv-0719-10</t>
  </si>
  <si>
    <t>Invoice Date : 11th July 2019</t>
  </si>
  <si>
    <t>PO No. 4500032601</t>
  </si>
  <si>
    <t>Ball Point (Blue)</t>
  </si>
  <si>
    <t>Carbon Papers</t>
  </si>
  <si>
    <t>Dog Binder Clip (M)</t>
  </si>
  <si>
    <t>Gem Clip</t>
  </si>
  <si>
    <t>Marker (Black)</t>
  </si>
  <si>
    <t>Marker Ink (Black)</t>
  </si>
  <si>
    <t>Pencil Cell</t>
  </si>
  <si>
    <t>Punching Machine (S)</t>
  </si>
  <si>
    <t>Rough Pads (M)</t>
  </si>
  <si>
    <t>Sharpener Plastic</t>
  </si>
  <si>
    <t>Stapler Pins (L) Dollar</t>
  </si>
  <si>
    <t>Stapler Machine (L)</t>
  </si>
  <si>
    <r>
      <t xml:space="preserve">In Words : </t>
    </r>
    <r>
      <rPr>
        <sz val="10"/>
        <color theme="1"/>
        <rFont val="Calibri"/>
        <family val="2"/>
        <scheme val="minor"/>
      </rPr>
      <t>Seventy One Thousand Six Hundred and Twenty Seven Only.</t>
    </r>
  </si>
  <si>
    <t>Tapal Tea Pvt. Ltd.</t>
  </si>
  <si>
    <t>Plot no. 40, Sector 15, Korangi Industrial Area</t>
  </si>
  <si>
    <t>Karachi, Pakistan</t>
  </si>
  <si>
    <t>N.T.N. # 0712331-7, S.T.R. # 12-02-0902-001-37</t>
  </si>
  <si>
    <t>Invoice No. : Sinv-0719-11</t>
  </si>
  <si>
    <t>Paper Cutter China</t>
  </si>
  <si>
    <r>
      <t xml:space="preserve">In Words : </t>
    </r>
    <r>
      <rPr>
        <sz val="10"/>
        <color theme="1"/>
        <rFont val="Calibri"/>
        <family val="2"/>
        <scheme val="minor"/>
      </rPr>
      <t>Fourty Four Thousand Nine Hundred and Twenty Eight Only</t>
    </r>
  </si>
  <si>
    <t>Invoice Date : 13th July 2019</t>
  </si>
  <si>
    <t>Invoice No. : Sinv-0719-12</t>
  </si>
  <si>
    <t>Invoice Date : 25th July 2019</t>
  </si>
  <si>
    <t>Invoice No. : Sinv-0719-13</t>
  </si>
  <si>
    <t>Stamp Paper</t>
  </si>
  <si>
    <r>
      <t xml:space="preserve">In Words : </t>
    </r>
    <r>
      <rPr>
        <sz val="10"/>
        <color theme="1"/>
        <rFont val="Calibri"/>
        <family val="2"/>
        <scheme val="minor"/>
      </rPr>
      <t>Seventy Four Thousand Eight Hundred and Eight Only</t>
    </r>
  </si>
  <si>
    <t>Invoice Date : 24th July 2019</t>
  </si>
  <si>
    <t>PO No. 176</t>
  </si>
  <si>
    <t>Tissue Box RosePetal Luxury</t>
  </si>
  <si>
    <r>
      <t xml:space="preserve">In Words : </t>
    </r>
    <r>
      <rPr>
        <sz val="10"/>
        <color theme="1"/>
        <rFont val="Calibri"/>
        <family val="2"/>
        <scheme val="minor"/>
      </rPr>
      <t>Fourteen Thousand Five Hundred and Eight Only.</t>
    </r>
  </si>
  <si>
    <t>Invoice No. : Sinv-0719-14</t>
  </si>
  <si>
    <t>Whiteboard 4x5</t>
  </si>
  <si>
    <r>
      <t xml:space="preserve">In Words : </t>
    </r>
    <r>
      <rPr>
        <sz val="10"/>
        <color theme="1"/>
        <rFont val="Calibri"/>
        <family val="2"/>
        <scheme val="minor"/>
      </rPr>
      <t>Nine Thousand and Nine only</t>
    </r>
  </si>
  <si>
    <t>Invoice No. : Sinv-0719-15</t>
  </si>
  <si>
    <t>Invoice Date : 19th July 2019</t>
  </si>
  <si>
    <t>Scotch Tape Gatti</t>
  </si>
  <si>
    <t>Energizer Cell AAA</t>
  </si>
  <si>
    <t>Sticky Note 3x3</t>
  </si>
  <si>
    <t>Magnit Deli 7823 Model</t>
  </si>
  <si>
    <t>Thermal Roll</t>
  </si>
  <si>
    <r>
      <t xml:space="preserve">In Words : </t>
    </r>
    <r>
      <rPr>
        <sz val="10"/>
        <color theme="1"/>
        <rFont val="Calibri"/>
        <family val="2"/>
        <scheme val="minor"/>
      </rPr>
      <t>Eight Thousand Three Hundred and Thirty only</t>
    </r>
  </si>
  <si>
    <r>
      <t xml:space="preserve">In Words : </t>
    </r>
    <r>
      <rPr>
        <sz val="10"/>
        <color theme="1"/>
        <rFont val="Calibri"/>
        <family val="2"/>
        <scheme val="minor"/>
      </rPr>
      <t>Eight  Hundred and Fourty Two only</t>
    </r>
  </si>
  <si>
    <t>Invoice No. : Sinv-0719-16</t>
  </si>
  <si>
    <r>
      <t xml:space="preserve">In Words : </t>
    </r>
    <r>
      <rPr>
        <sz val="10"/>
        <color theme="1"/>
        <rFont val="Calibri"/>
        <family val="2"/>
        <scheme val="minor"/>
      </rPr>
      <t>Thirty Five Thousand One Hundred Only</t>
    </r>
  </si>
  <si>
    <t>Invoice Date : 8th August 2019</t>
  </si>
  <si>
    <t>Invoice No. : Sinv-0819-01</t>
  </si>
  <si>
    <t>PO NO. 108</t>
  </si>
  <si>
    <t>Invoice No. : Sinv-0819-02</t>
  </si>
  <si>
    <t>Po no. 273</t>
  </si>
  <si>
    <r>
      <t xml:space="preserve">In Words : </t>
    </r>
    <r>
      <rPr>
        <sz val="10"/>
        <color theme="1"/>
        <rFont val="Calibri"/>
        <family val="2"/>
        <scheme val="minor"/>
      </rPr>
      <t>Seventy One Thousand Eight Hundred and Thirty Eight Only.</t>
    </r>
  </si>
  <si>
    <t>Invoice No. : Sinv-0819-03</t>
  </si>
  <si>
    <t>PO 42</t>
  </si>
  <si>
    <t>Invoice No. : Sinv-0819-04</t>
  </si>
  <si>
    <t>Invoice Date : 7th Aug 2019</t>
  </si>
  <si>
    <t>File Lever arch Korona</t>
  </si>
  <si>
    <t>Dollar Clipper - Blue Pen</t>
  </si>
  <si>
    <t>Pencil - Picasso Executive</t>
  </si>
  <si>
    <t>Dollar Clipper - Black Pen</t>
  </si>
  <si>
    <t>Self Sticky Notes</t>
  </si>
  <si>
    <t>Dollar Market Black</t>
  </si>
  <si>
    <r>
      <t xml:space="preserve">In Words : </t>
    </r>
    <r>
      <rPr>
        <sz val="10"/>
        <color theme="1"/>
        <rFont val="Calibri"/>
        <family val="2"/>
        <scheme val="minor"/>
      </rPr>
      <t>Twenty One Thousand Six Hundred and Eighty Five Only.</t>
    </r>
  </si>
  <si>
    <t>PO No. 297</t>
  </si>
  <si>
    <t>Invoice Date : 20th Aug 2019</t>
  </si>
  <si>
    <t>Invoice No. : Sinv-0819-06</t>
  </si>
  <si>
    <t>Invoice No. : Sinv-0819-05</t>
  </si>
  <si>
    <t>PO No. 4500032954</t>
  </si>
  <si>
    <t>Calculator CT-9300 BRAND: ORIGINAL CITIZEN</t>
  </si>
  <si>
    <r>
      <t xml:space="preserve">In Words : </t>
    </r>
    <r>
      <rPr>
        <sz val="10"/>
        <color theme="1"/>
        <rFont val="Calibri"/>
        <family val="2"/>
        <scheme val="minor"/>
      </rPr>
      <t>Two Thousand One Hundred and Seventy Six  Only.</t>
    </r>
  </si>
  <si>
    <t>PO No. 4500032843</t>
  </si>
  <si>
    <r>
      <t xml:space="preserve">In Words : </t>
    </r>
    <r>
      <rPr>
        <sz val="10"/>
        <color theme="1"/>
        <rFont val="Calibri"/>
        <family val="2"/>
        <scheme val="minor"/>
      </rPr>
      <t>Seven Hundred and Twenty Five Only.</t>
    </r>
  </si>
  <si>
    <t>Invoice No. : Sinv-0819-07</t>
  </si>
  <si>
    <t>PO No. 4500033094</t>
  </si>
  <si>
    <t>Mortein Mosquito Spray</t>
  </si>
  <si>
    <t>PHENYL BOTTEL (LARGE) 2.7
Liters</t>
  </si>
  <si>
    <t>Wiper</t>
  </si>
  <si>
    <r>
      <t xml:space="preserve">In Words : </t>
    </r>
    <r>
      <rPr>
        <sz val="10"/>
        <color theme="1"/>
        <rFont val="Calibri"/>
        <family val="2"/>
        <scheme val="minor"/>
      </rPr>
      <t>Sixteen Thousand and Six Only.</t>
    </r>
  </si>
  <si>
    <t>Invoice No. : Sinv-0819-08</t>
  </si>
  <si>
    <t>PO No. 4500033037</t>
  </si>
  <si>
    <t>Staple Pins (L) Dollar</t>
  </si>
  <si>
    <r>
      <t xml:space="preserve">In Words : </t>
    </r>
    <r>
      <rPr>
        <sz val="10"/>
        <color theme="1"/>
        <rFont val="Calibri"/>
        <family val="2"/>
        <scheme val="minor"/>
      </rPr>
      <t>Eleven Thousand Five Hundred and Thirty Two Only.</t>
    </r>
  </si>
  <si>
    <t>Invoice Date : 22nd Aug 2019</t>
  </si>
  <si>
    <t>Invoice No. : Sinv-0819-09</t>
  </si>
  <si>
    <t>Computer Paper PaySlip</t>
  </si>
  <si>
    <r>
      <t xml:space="preserve">In Words : </t>
    </r>
    <r>
      <rPr>
        <sz val="10"/>
        <color theme="1"/>
        <rFont val="Calibri"/>
        <family val="2"/>
        <scheme val="minor"/>
      </rPr>
      <t>One Thousand Four Hundred and Ninety Eight Only</t>
    </r>
  </si>
  <si>
    <t>Invoice No. : Sinv-0819-10</t>
  </si>
  <si>
    <t>Pencil Cutter</t>
  </si>
  <si>
    <t>Gem Clip 26mm</t>
  </si>
  <si>
    <t>Register Six Dasti (300 Pages)</t>
  </si>
  <si>
    <t>Carbon Paper Blue</t>
  </si>
  <si>
    <t>Marker Black 90</t>
  </si>
  <si>
    <t>Gattis Rubber Bag 400gm</t>
  </si>
  <si>
    <t>Correction Pen</t>
  </si>
  <si>
    <r>
      <t xml:space="preserve">In Words : </t>
    </r>
    <r>
      <rPr>
        <sz val="10"/>
        <color theme="1"/>
        <rFont val="Calibri"/>
        <family val="2"/>
        <scheme val="minor"/>
      </rPr>
      <t>Fourty Five Thousand Three Hundred and Eighty Seven Only</t>
    </r>
  </si>
  <si>
    <t>PO NO. 7624</t>
  </si>
  <si>
    <t>Invoice No. : Sinv-0819-11</t>
  </si>
  <si>
    <t>Gum Stick 8 gram</t>
  </si>
  <si>
    <t>Paper Basket</t>
  </si>
  <si>
    <t>Ball Pen Unisas</t>
  </si>
  <si>
    <t>Nylon Doori</t>
  </si>
  <si>
    <t>Marker Ink</t>
  </si>
  <si>
    <t>Fiber Black File</t>
  </si>
  <si>
    <r>
      <t xml:space="preserve">In Words : </t>
    </r>
    <r>
      <rPr>
        <sz val="10"/>
        <color theme="1"/>
        <rFont val="Calibri"/>
        <family val="2"/>
        <scheme val="minor"/>
      </rPr>
      <t>Twenty Three Thousand Eight Hundred and Fourty Only</t>
    </r>
  </si>
  <si>
    <t>PO NO. 7626</t>
  </si>
  <si>
    <t>PO No. 4096</t>
  </si>
  <si>
    <t>Invoice No. : Sinv-0819-12</t>
  </si>
  <si>
    <t>PO NO. 4075</t>
  </si>
  <si>
    <t>Blue Permanent Marker</t>
  </si>
  <si>
    <t>Black Permanent Marker</t>
  </si>
  <si>
    <t>Red Permanent Marker</t>
  </si>
  <si>
    <t>Green Permanent Marker</t>
  </si>
  <si>
    <r>
      <t xml:space="preserve">In Words : </t>
    </r>
    <r>
      <rPr>
        <sz val="10"/>
        <color theme="1"/>
        <rFont val="Calibri"/>
        <family val="2"/>
        <scheme val="minor"/>
      </rPr>
      <t>Two Thousand Three Hundred and Sixty Only</t>
    </r>
  </si>
  <si>
    <t>Invoice No. : Sinv-0819-13</t>
  </si>
  <si>
    <t>Invoice Date : 23rd Aug 2019</t>
  </si>
  <si>
    <t xml:space="preserve">Lipton Tea Bags 300 Sheets </t>
  </si>
  <si>
    <r>
      <t xml:space="preserve">In Words : </t>
    </r>
    <r>
      <rPr>
        <sz val="10"/>
        <color theme="1"/>
        <rFont val="Calibri"/>
        <family val="2"/>
        <scheme val="minor"/>
      </rPr>
      <t>Twenty Nine Thousand Nine Hundred and Fifty Two Only</t>
    </r>
  </si>
  <si>
    <t>Invoice No. : Sinv-0819-14</t>
  </si>
  <si>
    <t>Kangaroo Staple Pin Remover SR-45</t>
  </si>
  <si>
    <t>Stamp Pad Blue Small</t>
  </si>
  <si>
    <t>Dollar Stapler Pin 10 #</t>
  </si>
  <si>
    <t>Opal Stapler Machine 45P</t>
  </si>
  <si>
    <t>Pelikan Highlighter Yellow</t>
  </si>
  <si>
    <t>Register 240 Pages</t>
  </si>
  <si>
    <t>Dollar Clipper Blue</t>
  </si>
  <si>
    <r>
      <t xml:space="preserve">In Words : </t>
    </r>
    <r>
      <rPr>
        <sz val="10"/>
        <color theme="1"/>
        <rFont val="Calibri"/>
        <family val="2"/>
        <scheme val="minor"/>
      </rPr>
      <t>Eleven Thousand Five Hundred and Eighty Nine Only</t>
    </r>
  </si>
  <si>
    <t>Plot # C8 Scheme 33, SITE Supper Highway</t>
  </si>
  <si>
    <t>Highway Karachi - Pakistan</t>
  </si>
  <si>
    <t>Afroze Textile Industries Pvt. Ltd.</t>
  </si>
  <si>
    <t>NTN 0676893-8</t>
  </si>
  <si>
    <t>Invoice Date : 27th Aug 2019</t>
  </si>
  <si>
    <t>Invoice No. : Sinv-0819-15</t>
  </si>
  <si>
    <t>Ball Pen Black</t>
  </si>
  <si>
    <t>Ball Pen Blue</t>
  </si>
  <si>
    <t>Air Freshner 300ml</t>
  </si>
  <si>
    <t>Hole Punch Opal Model 500</t>
  </si>
  <si>
    <t>Whito with Thinner</t>
  </si>
  <si>
    <r>
      <t xml:space="preserve">In Words : </t>
    </r>
    <r>
      <rPr>
        <sz val="10"/>
        <color theme="1"/>
        <rFont val="Calibri"/>
        <family val="2"/>
        <scheme val="minor"/>
      </rPr>
      <t>One Thousand Seven Hundred and Five Only</t>
    </r>
  </si>
  <si>
    <t>Invoice Date : 28th Aug 2019</t>
  </si>
  <si>
    <t>BLC 70gram A4 Size</t>
  </si>
  <si>
    <r>
      <t xml:space="preserve">In Words : </t>
    </r>
    <r>
      <rPr>
        <sz val="10"/>
        <color theme="1"/>
        <rFont val="Calibri"/>
        <family val="2"/>
        <scheme val="minor"/>
      </rPr>
      <t>Ninety Six Thousand Five Hundred and Twenty Five Only</t>
    </r>
  </si>
  <si>
    <t>Invoice No. : Sinv-0819-17</t>
  </si>
  <si>
    <t>CT-9300 China</t>
  </si>
  <si>
    <r>
      <t xml:space="preserve">In Words : </t>
    </r>
    <r>
      <rPr>
        <sz val="10"/>
        <color theme="1"/>
        <rFont val="Calibri"/>
        <family val="2"/>
        <scheme val="minor"/>
      </rPr>
      <t>Seven Hundred and Sixty One Only</t>
    </r>
  </si>
  <si>
    <t>Invoice No. : Sinv-0819-18</t>
  </si>
  <si>
    <t>Measuring Tape 5 Meter</t>
  </si>
  <si>
    <r>
      <t xml:space="preserve">In Words : </t>
    </r>
    <r>
      <rPr>
        <sz val="10"/>
        <color theme="1"/>
        <rFont val="Calibri"/>
        <family val="2"/>
        <scheme val="minor"/>
      </rPr>
      <t>Four Hundred and Twenty One Only</t>
    </r>
  </si>
  <si>
    <t>Invoice No. : Sinv-0819-19</t>
  </si>
  <si>
    <t>PO 8800712362</t>
  </si>
  <si>
    <t>Scissor 6" DL Brand</t>
  </si>
  <si>
    <t>Piano Ball Point 0.8mm</t>
  </si>
  <si>
    <t>Dollar Gel-1</t>
  </si>
  <si>
    <t>Energizer Battery Cell AAA</t>
  </si>
  <si>
    <t>Invoice Date : 29th August 2019</t>
  </si>
  <si>
    <r>
      <t xml:space="preserve">In Words : </t>
    </r>
    <r>
      <rPr>
        <sz val="10"/>
        <color theme="1"/>
        <rFont val="Calibri"/>
        <family val="2"/>
        <scheme val="minor"/>
      </rPr>
      <t>One Hundred Twenty Three Thousand Four Hundred and Ninety Five Only</t>
    </r>
  </si>
  <si>
    <t>Invoice No. : Sinv-0819-20</t>
  </si>
  <si>
    <t>Invoice Date : 30th Aug 2019</t>
  </si>
  <si>
    <t>Cell Size AA</t>
  </si>
  <si>
    <t>Cell Size AAA</t>
  </si>
  <si>
    <t>Calculator CT9300 China</t>
  </si>
  <si>
    <r>
      <t xml:space="preserve">In Words : </t>
    </r>
    <r>
      <rPr>
        <sz val="10"/>
        <color theme="1"/>
        <rFont val="Calibri"/>
        <family val="2"/>
        <scheme val="minor"/>
      </rPr>
      <t>Twelve Hundred and Ten Only</t>
    </r>
  </si>
  <si>
    <t>PO 2019-4073-004</t>
  </si>
  <si>
    <t>Invoice No. : Sinv-0819-21</t>
  </si>
  <si>
    <t>Po no. 421</t>
  </si>
  <si>
    <r>
      <t xml:space="preserve">In Words : </t>
    </r>
    <r>
      <rPr>
        <sz val="10"/>
        <color theme="1"/>
        <rFont val="Calibri"/>
        <family val="2"/>
        <scheme val="minor"/>
      </rPr>
      <t>Sixty Four Thousand Three Hundred and Fifty Only.</t>
    </r>
  </si>
  <si>
    <t>Invoice Date : 2nd Sep 2019</t>
  </si>
  <si>
    <t>Invoice No. : Sinv-0919-01</t>
  </si>
  <si>
    <t>NTN 10056313-0</t>
  </si>
  <si>
    <t>EFG Hermes Pakistan Ltd</t>
  </si>
  <si>
    <t>BLC 70Gram A4 Size Papers</t>
  </si>
  <si>
    <r>
      <t xml:space="preserve">In Words : </t>
    </r>
    <r>
      <rPr>
        <sz val="10"/>
        <color theme="1"/>
        <rFont val="Calibri"/>
        <family val="2"/>
        <scheme val="minor"/>
      </rPr>
      <t>Thirteen Thousand Eight Hundred and Six Only.</t>
    </r>
  </si>
  <si>
    <t>Invoice No. : Sinv-0919-02</t>
  </si>
  <si>
    <t>Water Dispenser Homage Brand Model HWD-45</t>
  </si>
  <si>
    <r>
      <t xml:space="preserve">In Words : </t>
    </r>
    <r>
      <rPr>
        <sz val="10"/>
        <color theme="1"/>
        <rFont val="Calibri"/>
        <family val="2"/>
        <scheme val="minor"/>
      </rPr>
      <t>Sixteen Thousand Nine Hundred and Sixty Five Only.</t>
    </r>
  </si>
  <si>
    <t>Invoice No. : Sinv-0919-03</t>
  </si>
  <si>
    <t>Invoice Date : 3rd Sept 2019</t>
  </si>
  <si>
    <t>PO 2019-4073-008</t>
  </si>
  <si>
    <t>Steel Scale 6"</t>
  </si>
  <si>
    <t>Tape Measuring 05 Meters</t>
  </si>
  <si>
    <r>
      <t xml:space="preserve">In Words : </t>
    </r>
    <r>
      <rPr>
        <sz val="10"/>
        <color theme="1"/>
        <rFont val="Calibri"/>
        <family val="2"/>
        <scheme val="minor"/>
      </rPr>
      <t>Nine Hundred and Twenty Seven</t>
    </r>
  </si>
  <si>
    <t>Invoice No. : Sinv-0919-04</t>
  </si>
  <si>
    <t>PO 2019-4073-007</t>
  </si>
  <si>
    <t>Ink Black for Stamp Pad Dollar</t>
  </si>
  <si>
    <t>Ink Blue for Stamp Pad Dollar</t>
  </si>
  <si>
    <t>Carbon Paper Blue Color</t>
  </si>
  <si>
    <t>Carbon Paper Black Color</t>
  </si>
  <si>
    <t>File  Plastic A4 Size</t>
  </si>
  <si>
    <t>Marker 90 Blue</t>
  </si>
  <si>
    <t>Marker 90 Black</t>
  </si>
  <si>
    <t>Stapler Medium</t>
  </si>
  <si>
    <t>Duplicate Book 1/8 Size</t>
  </si>
  <si>
    <t>File Box</t>
  </si>
  <si>
    <r>
      <t xml:space="preserve">In Words : </t>
    </r>
    <r>
      <rPr>
        <sz val="10"/>
        <color theme="1"/>
        <rFont val="Calibri"/>
        <family val="2"/>
        <scheme val="minor"/>
      </rPr>
      <t>Twenty Four Thousand Seven Hundred and Fifty Nine Only</t>
    </r>
  </si>
  <si>
    <t>Invoice No. : Sinv-0919-05</t>
  </si>
  <si>
    <t>PO 2019-4073-006</t>
  </si>
  <si>
    <t>Steel Scale 24"</t>
  </si>
  <si>
    <t>Stapler Machine Medium</t>
  </si>
  <si>
    <r>
      <t xml:space="preserve">In Words : </t>
    </r>
    <r>
      <rPr>
        <sz val="10"/>
        <color theme="1"/>
        <rFont val="Calibri"/>
        <family val="2"/>
        <scheme val="minor"/>
      </rPr>
      <t>Four Hundred and Five Only</t>
    </r>
  </si>
  <si>
    <t>Invoice No. : Sinv-0919-06</t>
  </si>
  <si>
    <t>PO 2019-4073-005</t>
  </si>
  <si>
    <t>Calculator CT-9300 China</t>
  </si>
  <si>
    <r>
      <t xml:space="preserve">In Words : </t>
    </r>
    <r>
      <rPr>
        <sz val="10"/>
        <color theme="1"/>
        <rFont val="Calibri"/>
        <family val="2"/>
        <scheme val="minor"/>
      </rPr>
      <t>Seven Hundred and Sixty one only.</t>
    </r>
  </si>
  <si>
    <t>Invoice No. : Sinv-0919-07</t>
  </si>
  <si>
    <t>PO 2019-4073-003</t>
  </si>
  <si>
    <t>Gum Stick Large 40gram</t>
  </si>
  <si>
    <t>Clip Binder 51mm</t>
  </si>
  <si>
    <t>Clip Binder 41mm</t>
  </si>
  <si>
    <t>Gem Clip 78mm</t>
  </si>
  <si>
    <r>
      <t xml:space="preserve">In Words : </t>
    </r>
    <r>
      <rPr>
        <sz val="10"/>
        <color theme="1"/>
        <rFont val="Calibri"/>
        <family val="2"/>
        <scheme val="minor"/>
      </rPr>
      <t>Nineteen Thousand Two Hundred and Eleven</t>
    </r>
  </si>
  <si>
    <t>Invoice Date : 4th Sep 2019</t>
  </si>
  <si>
    <t>Invoice No. : Sinv-0919-08</t>
  </si>
  <si>
    <t>PO No. 4500033267</t>
  </si>
  <si>
    <t>Finis Bottle</t>
  </si>
  <si>
    <r>
      <t xml:space="preserve">In Words : </t>
    </r>
    <r>
      <rPr>
        <sz val="10"/>
        <color theme="1"/>
        <rFont val="Calibri"/>
        <family val="2"/>
        <scheme val="minor"/>
      </rPr>
      <t>Five Thousand Three Hundred and Seventy Only.</t>
    </r>
  </si>
  <si>
    <t>Invoice No. : Sinv-0919-09</t>
  </si>
  <si>
    <t>PO No. 4500033225</t>
  </si>
  <si>
    <t>Bucket Plastic Large</t>
  </si>
  <si>
    <t>Dry Mop</t>
  </si>
  <si>
    <t>Hand Brush (Nylon)</t>
  </si>
  <si>
    <r>
      <t xml:space="preserve">In Words : </t>
    </r>
    <r>
      <rPr>
        <sz val="10"/>
        <color theme="1"/>
        <rFont val="Calibri"/>
        <family val="2"/>
        <scheme val="minor"/>
      </rPr>
      <t>Eight Thousand Nine Hundred and Sixty Two Only.</t>
    </r>
  </si>
  <si>
    <t>Invoice No. : Sinv-0919-10</t>
  </si>
  <si>
    <t>PO No. 4500033285</t>
  </si>
  <si>
    <t>Phenyl Bottle (Large)</t>
  </si>
  <si>
    <r>
      <t xml:space="preserve">In Words : </t>
    </r>
    <r>
      <rPr>
        <sz val="10"/>
        <color theme="1"/>
        <rFont val="Calibri"/>
        <family val="2"/>
        <scheme val="minor"/>
      </rPr>
      <t>Seventeen Thousand Nine Hundred and Ninety Five Only.</t>
    </r>
  </si>
  <si>
    <t>Invoice Date : 6th Sep 2019</t>
  </si>
  <si>
    <t>Invoice No. : Sinv-0919-11</t>
  </si>
  <si>
    <t>000386</t>
  </si>
  <si>
    <t>Sugar</t>
  </si>
  <si>
    <t>Invoice No. : Sinv-0919-12</t>
  </si>
  <si>
    <t>PO No. 4500033168</t>
  </si>
  <si>
    <t>Calculator CT9300 Citizen</t>
  </si>
  <si>
    <r>
      <t xml:space="preserve">In Words : </t>
    </r>
    <r>
      <rPr>
        <sz val="10"/>
        <color theme="1"/>
        <rFont val="Calibri"/>
        <family val="2"/>
        <scheme val="minor"/>
      </rPr>
      <t>Two Thousand Nine Hundred and Two Only.</t>
    </r>
  </si>
  <si>
    <r>
      <t xml:space="preserve">In Words : </t>
    </r>
    <r>
      <rPr>
        <sz val="10"/>
        <color theme="1"/>
        <rFont val="Calibri"/>
        <family val="2"/>
        <scheme val="minor"/>
      </rPr>
      <t>One Hundred Fifty Four Thousand Four Hundred and Fourty Only.</t>
    </r>
  </si>
  <si>
    <t>NTN 0819531-5</t>
  </si>
  <si>
    <t>Gray Mackenzie Resturants International</t>
  </si>
  <si>
    <t>Ocean Mall Tower,</t>
  </si>
  <si>
    <t>Invoice Date : 11th Sep 2019</t>
  </si>
  <si>
    <t>Invoice No. : Sinv-0919-13</t>
  </si>
  <si>
    <t>TOTAL Parco Pakistan Ltd.</t>
  </si>
  <si>
    <t>State Life Building 11, Abdullah Haroon Road</t>
  </si>
  <si>
    <t xml:space="preserve">Box Document File Full Size </t>
  </si>
  <si>
    <t xml:space="preserve">Gum Stick UHU Medium </t>
  </si>
  <si>
    <t xml:space="preserve">Hi Litters/Text marker - Yellow Colour </t>
  </si>
  <si>
    <t>L-Type Folder A-4 Size</t>
  </si>
  <si>
    <t>Paper clips Three Flowers 30 mm - (Pack of 100)</t>
  </si>
  <si>
    <t xml:space="preserve">Post-it Pad (Yellow) size 2*3 (3 M) </t>
  </si>
  <si>
    <t xml:space="preserve">Post-it Pad (Yellow) size 3*4 (3 M) </t>
  </si>
  <si>
    <t xml:space="preserve">Punch Machine - Medium </t>
  </si>
  <si>
    <t xml:space="preserve">Steel Scale 12" </t>
  </si>
  <si>
    <t xml:space="preserve">Scissors </t>
  </si>
  <si>
    <t>Scotch Tape transparent white (good quality)</t>
  </si>
  <si>
    <t xml:space="preserve">Stapler Pin Remover </t>
  </si>
  <si>
    <t>Stapler Medium Nos 200</t>
  </si>
  <si>
    <t>Calculator Casio normal use</t>
  </si>
  <si>
    <t>Carbon Paper Butterfly Black - (Pack of 100)</t>
  </si>
  <si>
    <t xml:space="preserve">Rubber AL30 </t>
  </si>
  <si>
    <t xml:space="preserve">Sharpener Steel </t>
  </si>
  <si>
    <t xml:space="preserve">Thumb Pin Colour - (50 Pins) </t>
  </si>
  <si>
    <t xml:space="preserve">Transparent File A-4 </t>
  </si>
  <si>
    <t>Pack</t>
  </si>
  <si>
    <t>Nos</t>
  </si>
  <si>
    <t>Binder Clips (19 MM) - 
(Pack of 12)</t>
  </si>
  <si>
    <t xml:space="preserve">Binder Clips (25 MM) - 
(Pack of 12) </t>
  </si>
  <si>
    <t xml:space="preserve">Binder Clips (32 MM) - 
(Pack of 12) </t>
  </si>
  <si>
    <t>DN-0819-06</t>
  </si>
  <si>
    <t>DN-0819-07</t>
  </si>
  <si>
    <t>DN-0819-08</t>
  </si>
  <si>
    <t xml:space="preserve">Lead Pencil with rubber - (Pack of 12) </t>
  </si>
  <si>
    <t>Binder Clips (19 MM) - (Pack of 12)</t>
  </si>
  <si>
    <t>Binding Clip (41 MM) - (Pack of 12)</t>
  </si>
  <si>
    <t>Blanco Remover Pen</t>
  </si>
  <si>
    <t>Calculator Casio normal use Nos 200 -</t>
  </si>
  <si>
    <t>Separator Set Colour - (10 Sheets)</t>
  </si>
  <si>
    <t xml:space="preserve">Board Marker </t>
  </si>
  <si>
    <t xml:space="preserve">Hi Litters/Text marker - Green Colour </t>
  </si>
  <si>
    <t xml:space="preserve">Hi Litters/Text marker - Red Colour </t>
  </si>
  <si>
    <t xml:space="preserve">Hi Litters/Text marker -Blue Colour </t>
  </si>
  <si>
    <t>Ink Pot</t>
  </si>
  <si>
    <t xml:space="preserve">Masking Tape 1" </t>
  </si>
  <si>
    <t xml:space="preserve">Masking Tape 2" </t>
  </si>
  <si>
    <t xml:space="preserve">Packing Tape 2" Brown </t>
  </si>
  <si>
    <t xml:space="preserve">Scotch Tape transparent </t>
  </si>
  <si>
    <t xml:space="preserve">Paper Cutter (SDI) </t>
  </si>
  <si>
    <t xml:space="preserve">Permanent Marker all color </t>
  </si>
  <si>
    <t>Stapler Small Nos 200</t>
  </si>
  <si>
    <t>DN-0819-09</t>
  </si>
  <si>
    <t>DN-0819-10</t>
  </si>
  <si>
    <t>DN-0819-11</t>
  </si>
  <si>
    <t>Picasso Ball Pen - Blue</t>
  </si>
  <si>
    <t>Picasso Ball Pen - Black</t>
  </si>
  <si>
    <t>Stapler Pin Dollar Medium</t>
  </si>
  <si>
    <t>Common Pin China - (Pack of 100)</t>
  </si>
  <si>
    <t xml:space="preserve">Paper Tray in out </t>
  </si>
  <si>
    <t xml:space="preserve">Visiting Card Holder (240 Cards) </t>
  </si>
  <si>
    <t>DN-0819-12</t>
  </si>
  <si>
    <t>DN-0819-13</t>
  </si>
  <si>
    <t>DN-0819-14</t>
  </si>
  <si>
    <t>DN-0819-15</t>
  </si>
  <si>
    <t>Tape Dispenser Medium</t>
  </si>
  <si>
    <t>Calculator Casio Normal Use</t>
  </si>
  <si>
    <t>Permanent Marker All Color</t>
  </si>
  <si>
    <t xml:space="preserve">Gum Stick UHU Small </t>
  </si>
  <si>
    <t>Permanent Marker all color Red</t>
  </si>
  <si>
    <t>Deli Correction Tape 8137</t>
  </si>
  <si>
    <t>Plastic Separator 10 Tap</t>
  </si>
  <si>
    <t>DN-0819-16</t>
  </si>
  <si>
    <t>DN-0819-26</t>
  </si>
  <si>
    <t>DN-0819-27</t>
  </si>
  <si>
    <t>DN-0819-28</t>
  </si>
  <si>
    <t>DN-0819-29</t>
  </si>
  <si>
    <t>DN-0819-34</t>
  </si>
  <si>
    <r>
      <t xml:space="preserve">In Words : </t>
    </r>
    <r>
      <rPr>
        <sz val="10"/>
        <color theme="1"/>
        <rFont val="Calibri"/>
        <family val="2"/>
        <scheme val="minor"/>
      </rPr>
      <t>Thirty Five Thousand Eight Hundred and Sixty Two Only.</t>
    </r>
  </si>
  <si>
    <t>Invoice No. : Sinv-0919-14</t>
  </si>
  <si>
    <t>PO No. 501</t>
  </si>
  <si>
    <t>Broom Coir Hard 700gram</t>
  </si>
  <si>
    <t>Perfume Jasmine Local</t>
  </si>
  <si>
    <t>Hand Wash Lotion Bottle</t>
  </si>
  <si>
    <t>Invoice No. : Sinv-0919-15</t>
  </si>
  <si>
    <t>Invoice Date : 12th Sep 2019</t>
  </si>
  <si>
    <t>PR-Q7551A</t>
  </si>
  <si>
    <t>PR-CE255A</t>
  </si>
  <si>
    <t>PR-CF226A ( Twin Pack )</t>
  </si>
  <si>
    <t>PR-Q5949A ( Twin Pack )</t>
  </si>
  <si>
    <t>PR-Q6511A</t>
  </si>
  <si>
    <r>
      <t xml:space="preserve">In Words : </t>
    </r>
    <r>
      <rPr>
        <sz val="10"/>
        <color theme="1"/>
        <rFont val="Calibri"/>
        <family val="2"/>
        <scheme val="minor"/>
      </rPr>
      <t>One Hundred Thirty one Thousand Two Hundred and Seventy Four Only.</t>
    </r>
  </si>
  <si>
    <t>30USD</t>
  </si>
  <si>
    <t>20.60 USD</t>
  </si>
  <si>
    <t>Invoice No. : Sinv-0919-16</t>
  </si>
  <si>
    <t>Invoice Date : 13th Sep 2019</t>
  </si>
  <si>
    <t>Crescent Steel and Allied Products Limited</t>
  </si>
  <si>
    <t>E-Floor, IT Tower, 73-E/1, Hali Road, Gulberg III</t>
  </si>
  <si>
    <t>Lahore</t>
  </si>
  <si>
    <t>Stapler Pin Large</t>
  </si>
  <si>
    <t>Seperator for File</t>
  </si>
  <si>
    <t>Ball pen blue</t>
  </si>
  <si>
    <t>Stapler Pins</t>
  </si>
  <si>
    <t>Glue Stick Large</t>
  </si>
  <si>
    <t>Scotch Tape 1" Large</t>
  </si>
  <si>
    <t>Scotch Tape 2" Large</t>
  </si>
  <si>
    <t>Gem Clip Multicolor</t>
  </si>
  <si>
    <t>Pencil Deli no. 7079</t>
  </si>
  <si>
    <t>Rough Pad Large</t>
  </si>
  <si>
    <t>Plastic L Folder</t>
  </si>
  <si>
    <t>Clear Sheet Protection</t>
  </si>
  <si>
    <t>Brown Envelope Size A4</t>
  </si>
  <si>
    <t>Brown Envelop (9x4)</t>
  </si>
  <si>
    <t xml:space="preserve">Coloured Flags </t>
  </si>
  <si>
    <r>
      <t xml:space="preserve">In Words : </t>
    </r>
    <r>
      <rPr>
        <sz val="10"/>
        <color theme="1"/>
        <rFont val="Calibri"/>
        <family val="2"/>
        <scheme val="minor"/>
      </rPr>
      <t>Nine Thousand Five Hundred and Ninty Eight Only.</t>
    </r>
  </si>
  <si>
    <t>Invoice Date : 13th September 2019</t>
  </si>
  <si>
    <t>Invoice No. : Sinv-0919-17</t>
  </si>
  <si>
    <t>PO 8800716549</t>
  </si>
  <si>
    <t>Disposable Glass Plastic</t>
  </si>
  <si>
    <t>Disposable Glass Thermapole</t>
  </si>
  <si>
    <r>
      <t xml:space="preserve">In Words : </t>
    </r>
    <r>
      <rPr>
        <sz val="10"/>
        <color theme="1"/>
        <rFont val="Calibri"/>
        <family val="2"/>
        <scheme val="minor"/>
      </rPr>
      <t>One Hundred Thirty Five Thousand Seven Hundred and Twenty Only</t>
    </r>
  </si>
  <si>
    <t>Invoice No. : Sinv-0919-18</t>
  </si>
  <si>
    <t>Garbage bag  18*24</t>
  </si>
  <si>
    <t>Garbage bag  24*36</t>
  </si>
  <si>
    <t xml:space="preserve">Lemon max 475 ml </t>
  </si>
  <si>
    <t>Sugar  35KG</t>
  </si>
  <si>
    <t>Hand was 250ML</t>
  </si>
  <si>
    <t xml:space="preserve">Harpic 1 liter </t>
  </si>
  <si>
    <t>Scotch brite  Form wala</t>
  </si>
  <si>
    <t xml:space="preserve">Phynyle 2.75 liter </t>
  </si>
  <si>
    <t xml:space="preserve">Rommi air freshner </t>
  </si>
  <si>
    <t xml:space="preserve">Fay glass cleaner </t>
  </si>
  <si>
    <t xml:space="preserve">Perfect Air freshner </t>
  </si>
  <si>
    <t>Mop refill</t>
  </si>
  <si>
    <t xml:space="preserve">Dry Mop refill </t>
  </si>
  <si>
    <t>Surf excle 1 KG</t>
  </si>
  <si>
    <t xml:space="preserve">Soft broom </t>
  </si>
  <si>
    <t xml:space="preserve">Mortien spray </t>
  </si>
  <si>
    <t>Toilet Brush with Stand</t>
  </si>
  <si>
    <r>
      <t xml:space="preserve">In Words : </t>
    </r>
    <r>
      <rPr>
        <sz val="10"/>
        <color theme="1"/>
        <rFont val="Calibri"/>
        <family val="2"/>
        <scheme val="minor"/>
      </rPr>
      <t>Fourteen Thousand One Hundred and Fourty Nine Only.</t>
    </r>
  </si>
  <si>
    <t>Invoice No. : Sinv-0919-19</t>
  </si>
  <si>
    <t>Invoice Date : 16th Sept 2019</t>
  </si>
  <si>
    <t>PO 2019-4073-009</t>
  </si>
  <si>
    <t>Highlighter Yellow Pelikan</t>
  </si>
  <si>
    <t>File Plastic Ring</t>
  </si>
  <si>
    <t>Stapler pins 24/6</t>
  </si>
  <si>
    <r>
      <t xml:space="preserve">In Words : </t>
    </r>
    <r>
      <rPr>
        <sz val="10"/>
        <color theme="1"/>
        <rFont val="Calibri"/>
        <family val="2"/>
        <scheme val="minor"/>
      </rPr>
      <t>Fourteen Thousand Three Hundred and Seventy Eight Only</t>
    </r>
  </si>
  <si>
    <t>Invoice Date : 18th Sep 2019</t>
  </si>
  <si>
    <t>Invoice No. : Sinv-0919-20</t>
  </si>
  <si>
    <t>PO No. 4500033509</t>
  </si>
  <si>
    <t>Stapler Machine Large</t>
  </si>
  <si>
    <t>Staples Pin Dollar</t>
  </si>
  <si>
    <t>Rough Pad M</t>
  </si>
  <si>
    <t>Punch Machine (S)</t>
  </si>
  <si>
    <t>Market Ink (Black)</t>
  </si>
  <si>
    <t>Gem Clips</t>
  </si>
  <si>
    <r>
      <t xml:space="preserve">In Words : </t>
    </r>
    <r>
      <rPr>
        <sz val="10"/>
        <color theme="1"/>
        <rFont val="Calibri"/>
        <family val="2"/>
        <scheme val="minor"/>
      </rPr>
      <t>Twenty Nine Thousand Eight Hundred and Sixty Six Only.</t>
    </r>
  </si>
  <si>
    <t>Remarks
PCT Code</t>
  </si>
  <si>
    <t>3215</t>
  </si>
  <si>
    <t>9608</t>
  </si>
  <si>
    <t>8305</t>
  </si>
  <si>
    <t>JDW Sugar Mills Ltd. Corporate Farms</t>
  </si>
  <si>
    <t>JDW Sugar Mills Ltd. Rahim Yar Khan</t>
  </si>
  <si>
    <t>NTN 0711003-7, GST 04-08-1703-004-82</t>
  </si>
  <si>
    <t>PR-CF280A ( Twin Pack )</t>
  </si>
  <si>
    <t>HP 312A Set (CF380, CF381, CF382, CF383) - 1st Copy China</t>
  </si>
  <si>
    <t>HP 96 Black Ink Cartridge</t>
  </si>
  <si>
    <t>HP 97 Tri-Color Ink Cartridge</t>
  </si>
  <si>
    <t>HP 131 Black Laserjet Toner Cartridge CF210A</t>
  </si>
  <si>
    <t>Invoice No. : Sinv-0919-21</t>
  </si>
  <si>
    <t>Invoice Date : 19th Sep 2019</t>
  </si>
  <si>
    <t>Invoice No. : Sinv-0919-22</t>
  </si>
  <si>
    <t>Invoice Date : 20th Sep 2019</t>
  </si>
  <si>
    <t>PO No. 4500033584</t>
  </si>
  <si>
    <t>Board Marker Ink Black</t>
  </si>
  <si>
    <t>Marker White Board</t>
  </si>
  <si>
    <t>Rough Pad (L)</t>
  </si>
  <si>
    <t>Stamp Pad Ink (Blue)</t>
  </si>
  <si>
    <t>Staple Pin (X-L)</t>
  </si>
  <si>
    <t>Invoice No. : Sinv-0919-23</t>
  </si>
  <si>
    <t>Rose Petal Tissue Box Luxury</t>
  </si>
  <si>
    <t>MISK Tissue Box</t>
  </si>
  <si>
    <t>White - Hijeen</t>
  </si>
  <si>
    <r>
      <t xml:space="preserve">In Words : </t>
    </r>
    <r>
      <rPr>
        <sz val="10"/>
        <color theme="1"/>
        <rFont val="Calibri"/>
        <family val="2"/>
        <scheme val="minor"/>
      </rPr>
      <t>Eleven Thousand Eight Hundred and Seventeen Only.</t>
    </r>
  </si>
  <si>
    <t>Invoice No. : Sinv-0919-24</t>
  </si>
  <si>
    <t>Invoice Date : 23rd Sep 2019</t>
  </si>
  <si>
    <t>Shopping Bag Black (20x30)</t>
  </si>
  <si>
    <t>Glass Cleaner (Liquid)</t>
  </si>
  <si>
    <r>
      <t xml:space="preserve">In Words : </t>
    </r>
    <r>
      <rPr>
        <sz val="10"/>
        <color theme="1"/>
        <rFont val="Calibri"/>
        <family val="2"/>
        <scheme val="minor"/>
      </rPr>
      <t>Three Thousand Eight Hundred and Fourty Three  Only</t>
    </r>
  </si>
  <si>
    <t>PO 4300000001</t>
  </si>
  <si>
    <t>Invoice Date : 23rd Sept 2019</t>
  </si>
  <si>
    <t>Invoice No. : Sinv-0919-25</t>
  </si>
  <si>
    <t>PO 2019-4073-011</t>
  </si>
  <si>
    <t>Market 90 Black</t>
  </si>
  <si>
    <r>
      <t xml:space="preserve">In Words : </t>
    </r>
    <r>
      <rPr>
        <sz val="10"/>
        <color theme="1"/>
        <rFont val="Calibri"/>
        <family val="2"/>
        <scheme val="minor"/>
      </rPr>
      <t>Three Thousand Two Hundred and Twenty Only</t>
    </r>
  </si>
  <si>
    <t>Invoice Date : 24th Sept 2019</t>
  </si>
  <si>
    <t>Invoice No. : Sinv-0919-26</t>
  </si>
  <si>
    <t>PO 2019-4073-010</t>
  </si>
  <si>
    <t>Tape Mesauring 6 Meter</t>
  </si>
  <si>
    <r>
      <t xml:space="preserve">In Words : </t>
    </r>
    <r>
      <rPr>
        <sz val="10"/>
        <color theme="1"/>
        <rFont val="Calibri"/>
        <family val="2"/>
        <scheme val="minor"/>
      </rPr>
      <t>Two Hundred and Eleven Only</t>
    </r>
  </si>
  <si>
    <r>
      <t xml:space="preserve">In Words : </t>
    </r>
    <r>
      <rPr>
        <sz val="10"/>
        <color theme="1"/>
        <rFont val="Calibri"/>
        <family val="2"/>
        <scheme val="minor"/>
      </rPr>
      <t>Thirty Three Thousand Two Hundred and Eighty Four Only.</t>
    </r>
  </si>
  <si>
    <t>Invoice No. : Sinv-0919-27</t>
  </si>
  <si>
    <t>Invoice Date : 25th Sep 2019</t>
  </si>
  <si>
    <t>Invoice No. : Sinv-0919-28</t>
  </si>
  <si>
    <t>Invoice No. : Sinv-0919-29</t>
  </si>
  <si>
    <t>Invoice No. : Sinv-0919-30</t>
  </si>
  <si>
    <t>Po no. 553</t>
  </si>
  <si>
    <r>
      <t xml:space="preserve">In Words : </t>
    </r>
    <r>
      <rPr>
        <sz val="10"/>
        <color theme="1"/>
        <rFont val="Calibri"/>
        <family val="2"/>
        <scheme val="minor"/>
      </rPr>
      <t>Twenty Three Thousand Seven Hundred and Fifty One Only.</t>
    </r>
  </si>
  <si>
    <t>Invoice No. : Sinv-0919-31</t>
  </si>
  <si>
    <t>PO 70</t>
  </si>
  <si>
    <t>Invoice No. : Sinv-0919-32</t>
  </si>
  <si>
    <t>PO NO. 229</t>
  </si>
  <si>
    <t>PO No. 7630</t>
  </si>
  <si>
    <t>UBL Fund Managers</t>
  </si>
  <si>
    <t xml:space="preserve">4th floor, STSM Building, Beaumont Road, </t>
  </si>
  <si>
    <t>Civil Lines, Karachi</t>
  </si>
  <si>
    <t>Invoice No. : Sinv-0919-33</t>
  </si>
  <si>
    <t>Ball Points Black signature</t>
  </si>
  <si>
    <t>Ball Points Blue signature</t>
  </si>
  <si>
    <t>Pencils</t>
  </si>
  <si>
    <t>Post-it Yellow 3x3</t>
  </si>
  <si>
    <t>Rubber Band 250 gram</t>
  </si>
  <si>
    <t>Pkt</t>
  </si>
  <si>
    <r>
      <t xml:space="preserve">In Words : </t>
    </r>
    <r>
      <rPr>
        <sz val="10"/>
        <color theme="1"/>
        <rFont val="Calibri"/>
        <family val="2"/>
        <scheme val="minor"/>
      </rPr>
      <t>Seven Thousand Three Hundred and Seventy One Only.</t>
    </r>
  </si>
  <si>
    <r>
      <t xml:space="preserve">In Words : </t>
    </r>
    <r>
      <rPr>
        <sz val="10"/>
        <color theme="1"/>
        <rFont val="Calibri"/>
        <family val="2"/>
        <scheme val="minor"/>
      </rPr>
      <t>Eleven Thousand Seven Hundred Only.</t>
    </r>
  </si>
  <si>
    <t>Deharki Sugar Mills Ltd.</t>
  </si>
  <si>
    <t>Deharki Sugar Mills Ltd., Deharki</t>
  </si>
  <si>
    <t>NTN 3652565-7</t>
  </si>
  <si>
    <t>Invoice No. : Sinv-0919-34</t>
  </si>
  <si>
    <t>JDW Sugar Mills Ltd. Unit 3</t>
  </si>
  <si>
    <r>
      <t xml:space="preserve">In Words : </t>
    </r>
    <r>
      <rPr>
        <sz val="10"/>
        <color theme="1"/>
        <rFont val="Calibri"/>
        <family val="2"/>
        <scheme val="minor"/>
      </rPr>
      <t>Fourty Two Thousand One Hundred and Twenty Only.</t>
    </r>
  </si>
  <si>
    <t>Invoice No. : Sinv-0919-35</t>
  </si>
  <si>
    <r>
      <t xml:space="preserve">In Words : </t>
    </r>
    <r>
      <rPr>
        <sz val="10"/>
        <color theme="1"/>
        <rFont val="Calibri"/>
        <family val="2"/>
        <scheme val="minor"/>
      </rPr>
      <t>Thirty Nine Thousand Five Hundred and Fourty Six Only.</t>
    </r>
  </si>
  <si>
    <t>JDW Sugar Mills Ltd. Unit 2</t>
  </si>
  <si>
    <t>Invoice No. : Sinv-0919-36</t>
  </si>
  <si>
    <t>Invoice Date : 26th Sep 2019</t>
  </si>
  <si>
    <t>PO No. 4500033654</t>
  </si>
  <si>
    <t>Iodex</t>
  </si>
  <si>
    <t>Cicatin Powder</t>
  </si>
  <si>
    <t>Brufen 400gm Tablets</t>
  </si>
  <si>
    <t>PCT 3006</t>
  </si>
  <si>
    <r>
      <t xml:space="preserve">In Words : </t>
    </r>
    <r>
      <rPr>
        <sz val="10"/>
        <color theme="1"/>
        <rFont val="Calibri"/>
        <family val="2"/>
        <scheme val="minor"/>
      </rPr>
      <t>Two Thousand Four Hundred and Thirty Six Only.</t>
    </r>
  </si>
  <si>
    <t>Invoice No. : Sinv-0919-37</t>
  </si>
  <si>
    <t>Invoice Date : 28th Sept 2019</t>
  </si>
  <si>
    <t>PO 2019-4073-012</t>
  </si>
  <si>
    <t>Stand for White Board</t>
  </si>
  <si>
    <t>White Board 4x4</t>
  </si>
  <si>
    <r>
      <t xml:space="preserve">In Words : </t>
    </r>
    <r>
      <rPr>
        <sz val="10"/>
        <color theme="1"/>
        <rFont val="Calibri"/>
        <family val="2"/>
        <scheme val="minor"/>
      </rPr>
      <t>Five Thousand Two Hundred and Eighteen Only</t>
    </r>
  </si>
  <si>
    <t>Invoice Date : 1st Oct 2019</t>
  </si>
  <si>
    <t>Invoice No. : Sinv-1019-01</t>
  </si>
  <si>
    <t>Lifeboy Handwash Jumbo (Refill Pack)</t>
  </si>
  <si>
    <t>Max Liquid Handwasher</t>
  </si>
  <si>
    <r>
      <t xml:space="preserve">In Words : </t>
    </r>
    <r>
      <rPr>
        <sz val="10"/>
        <color theme="1"/>
        <rFont val="Calibri"/>
        <family val="2"/>
        <scheme val="minor"/>
      </rPr>
      <t>Thirty Eight Thousand Six Hundred and Ninety Eight Only</t>
    </r>
  </si>
  <si>
    <t>Invoice No. : Sinv-1019-02</t>
  </si>
  <si>
    <t>1-018</t>
  </si>
  <si>
    <t>Lipton Tea Bags 300 Sheets</t>
  </si>
  <si>
    <t>Packets</t>
  </si>
  <si>
    <r>
      <t xml:space="preserve">In Words : </t>
    </r>
    <r>
      <rPr>
        <sz val="10"/>
        <color theme="1"/>
        <rFont val="Calibri"/>
        <family val="2"/>
        <scheme val="minor"/>
      </rPr>
      <t>One Hundred and Thirty Four Thousand Seven Hundred and Eighty Four Only</t>
    </r>
  </si>
  <si>
    <t>Invoice No. : Sinv-1019-03</t>
  </si>
  <si>
    <t>Invoice Date : 2nd Oct 2019</t>
  </si>
  <si>
    <t>Westpoint Deluxe Electric Kettle 4 Ltr.</t>
  </si>
  <si>
    <r>
      <t xml:space="preserve">In Words : </t>
    </r>
    <r>
      <rPr>
        <sz val="10"/>
        <color theme="1"/>
        <rFont val="Calibri"/>
        <family val="2"/>
        <scheme val="minor"/>
      </rPr>
      <t>Six Thousand Three Hundred and Eighteen Only.</t>
    </r>
  </si>
  <si>
    <t>Invoice No. : Sinv-1019-04</t>
  </si>
  <si>
    <t>Invoice Date : 4th Oct 2019</t>
  </si>
  <si>
    <t>Garbage bag  18*24</t>
  </si>
  <si>
    <t>Garbage bag  24*36</t>
  </si>
  <si>
    <t>Scotch brite  Form wala</t>
  </si>
  <si>
    <t xml:space="preserve">Surf excle 1 KG </t>
  </si>
  <si>
    <t>Bleach</t>
  </si>
  <si>
    <t>Rose Petal TIssue Box</t>
  </si>
  <si>
    <t>Misk Tissue Box</t>
  </si>
  <si>
    <t>White Hijeen</t>
  </si>
  <si>
    <t>KG</t>
  </si>
  <si>
    <t>Invoice No. : Sinv-1019-05</t>
  </si>
  <si>
    <t>Card File</t>
  </si>
  <si>
    <r>
      <t xml:space="preserve">In Words : </t>
    </r>
    <r>
      <rPr>
        <sz val="10"/>
        <color theme="1"/>
        <rFont val="Calibri"/>
        <family val="2"/>
        <scheme val="minor"/>
      </rPr>
      <t>Fourteen Thousand and Fourty Only.</t>
    </r>
  </si>
  <si>
    <t xml:space="preserve">Sugar </t>
  </si>
  <si>
    <t>Invoice No. : Sinv-1019-06</t>
  </si>
  <si>
    <t>PO No. 4500033841</t>
  </si>
  <si>
    <t>Staples Pin (L) Dollar</t>
  </si>
  <si>
    <t>Phenyl Bottle Large</t>
  </si>
  <si>
    <t>PCT 8305</t>
  </si>
  <si>
    <t>PCT 4817</t>
  </si>
  <si>
    <t>PCT 3402</t>
  </si>
  <si>
    <t>PCT 9603</t>
  </si>
  <si>
    <r>
      <t xml:space="preserve">In Words : </t>
    </r>
    <r>
      <rPr>
        <sz val="10"/>
        <color theme="1"/>
        <rFont val="Calibri"/>
        <family val="2"/>
        <scheme val="minor"/>
      </rPr>
      <t>Twenty Six Thousand One Hundred and Fourty Four Only.</t>
    </r>
  </si>
  <si>
    <t>Invoice Date : 7th October 2019</t>
  </si>
  <si>
    <t>Invoice Date : 7th Oct 2019</t>
  </si>
  <si>
    <t>Invoice No. : Sinv-1019-07</t>
  </si>
  <si>
    <t>PO 480000013</t>
  </si>
  <si>
    <t>Broom Soft</t>
  </si>
  <si>
    <t>Bucket Steel</t>
  </si>
  <si>
    <t>Toilet Fresnhner (Tikya)</t>
  </si>
  <si>
    <r>
      <t xml:space="preserve">In Words : </t>
    </r>
    <r>
      <rPr>
        <sz val="10"/>
        <color theme="1"/>
        <rFont val="Calibri"/>
        <family val="2"/>
        <scheme val="minor"/>
      </rPr>
      <t>Twelve Thousand Four Hundred and Fourty Six Only</t>
    </r>
  </si>
  <si>
    <t>Invoice No. : Sinv-1019-08</t>
  </si>
  <si>
    <t>PO 480000049</t>
  </si>
  <si>
    <t>Invoice No. : Sinv-1019-09</t>
  </si>
  <si>
    <r>
      <t xml:space="preserve">In Words : </t>
    </r>
    <r>
      <rPr>
        <sz val="10"/>
        <color theme="1"/>
        <rFont val="Calibri"/>
        <family val="2"/>
        <scheme val="minor"/>
      </rPr>
      <t>Fourteen Thousand Seven Hundred and Fourty Two Only</t>
    </r>
  </si>
  <si>
    <r>
      <t xml:space="preserve">In Words : </t>
    </r>
    <r>
      <rPr>
        <sz val="10"/>
        <color theme="1"/>
        <rFont val="Calibri"/>
        <family val="2"/>
        <scheme val="minor"/>
      </rPr>
      <t>Eight Thousand Five Hundred and Sixty Two Only.</t>
    </r>
  </si>
  <si>
    <r>
      <t xml:space="preserve">In Words : </t>
    </r>
    <r>
      <rPr>
        <sz val="10"/>
        <color theme="1"/>
        <rFont val="Calibri"/>
        <family val="2"/>
        <scheme val="minor"/>
      </rPr>
      <t>Fourteen Thousand Nine Hundred and Eighteen Only.</t>
    </r>
  </si>
  <si>
    <t>Invoice No. : Sinv-1019-10</t>
  </si>
  <si>
    <t xml:space="preserve">BLC 70Gram </t>
  </si>
  <si>
    <r>
      <t xml:space="preserve">In Words : </t>
    </r>
    <r>
      <rPr>
        <sz val="10"/>
        <color theme="1"/>
        <rFont val="Calibri"/>
        <family val="2"/>
        <scheme val="minor"/>
      </rPr>
      <t>Eighteen Thousand One Hundred and Thirty Five Only.</t>
    </r>
  </si>
  <si>
    <r>
      <t xml:space="preserve">In Words : </t>
    </r>
    <r>
      <rPr>
        <sz val="10"/>
        <color theme="1"/>
        <rFont val="Calibri"/>
        <family val="2"/>
        <scheme val="minor"/>
      </rPr>
      <t>Seventeen Thousand and Five Hundred and Fifty Only.</t>
    </r>
  </si>
  <si>
    <t>CREDIT NOTE</t>
  </si>
  <si>
    <t>Invoice No. : Sinv-1019-11</t>
  </si>
  <si>
    <t>Invoice No. : CN-1019-11</t>
  </si>
  <si>
    <t>1. This Credit note issued against the invoice no. Sinv-0819-07 and Revised Invoice issued on 7th October 2019 number Sinv-1019-11</t>
  </si>
  <si>
    <t>Invoice No. : Sinv-1019-12</t>
  </si>
  <si>
    <t>Invoice Date : 8th October 2019</t>
  </si>
  <si>
    <t>PO No. 4500033901</t>
  </si>
  <si>
    <t>Dell Latitude Battery E5450</t>
  </si>
  <si>
    <t>PCT 8545</t>
  </si>
  <si>
    <r>
      <t xml:space="preserve">In Words : </t>
    </r>
    <r>
      <rPr>
        <sz val="10"/>
        <color theme="1"/>
        <rFont val="Calibri"/>
        <family val="2"/>
        <scheme val="minor"/>
      </rPr>
      <t>Thirty Five Thousand and One Hundred Only.</t>
    </r>
  </si>
  <si>
    <r>
      <t xml:space="preserve">In Words : </t>
    </r>
    <r>
      <rPr>
        <sz val="10"/>
        <color theme="1"/>
        <rFont val="Calibri"/>
        <family val="2"/>
        <scheme val="minor"/>
      </rPr>
      <t>Four Thousand Four Hundred and Eighty Two Only</t>
    </r>
  </si>
  <si>
    <t>Invoice No. : Sinv-0919-38</t>
  </si>
  <si>
    <r>
      <t xml:space="preserve">In Words : </t>
    </r>
    <r>
      <rPr>
        <sz val="10"/>
        <color theme="1"/>
        <rFont val="Calibri"/>
        <family val="2"/>
        <scheme val="minor"/>
      </rPr>
      <t>One Thousand Nine Hundred and Fifty Only</t>
    </r>
  </si>
  <si>
    <t>Invoice No. : Sinv-1019-13</t>
  </si>
  <si>
    <t>PR-CF226A (Twin Pack)</t>
  </si>
  <si>
    <r>
      <t xml:space="preserve">In Words : </t>
    </r>
    <r>
      <rPr>
        <sz val="10"/>
        <color theme="1"/>
        <rFont val="Calibri"/>
        <family val="2"/>
        <scheme val="minor"/>
      </rPr>
      <t>Thirty One Thousand Five Hundred and Ninety Only.</t>
    </r>
  </si>
  <si>
    <t>Invoice No. : Sinv-1019-14</t>
  </si>
  <si>
    <t>Invoice Date : 10th October 2019</t>
  </si>
  <si>
    <t>PR-CC530A</t>
  </si>
  <si>
    <t>PR-CC531A</t>
  </si>
  <si>
    <t>PR-CC532A</t>
  </si>
  <si>
    <t>PR-CC533A</t>
  </si>
  <si>
    <r>
      <t xml:space="preserve">In Words : </t>
    </r>
    <r>
      <rPr>
        <sz val="10"/>
        <color theme="1"/>
        <rFont val="Calibri"/>
        <family val="2"/>
        <scheme val="minor"/>
      </rPr>
      <t>Ninety Three Thousand Six Hundred Only.</t>
    </r>
  </si>
  <si>
    <t>Invoice No. : Sinv-1019-15</t>
  </si>
  <si>
    <t>Invoice No. : Sinv-1019-16</t>
  </si>
  <si>
    <t>JDW Sugar Mills Ltd. Unit 1</t>
  </si>
  <si>
    <t>PR-CF280X</t>
  </si>
  <si>
    <t>PR-CE505X</t>
  </si>
  <si>
    <t>PR-Q2612A ( Twin Pack )</t>
  </si>
  <si>
    <t>PR-CF283X</t>
  </si>
  <si>
    <t>PR-Q5942A</t>
  </si>
  <si>
    <r>
      <t xml:space="preserve">In Words : </t>
    </r>
    <r>
      <rPr>
        <sz val="10"/>
        <color theme="1"/>
        <rFont val="Calibri"/>
        <family val="2"/>
        <scheme val="minor"/>
      </rPr>
      <t>Four Hundred Sixty Three Thousand Nine Hundred and Five Only.</t>
    </r>
  </si>
  <si>
    <t>Invoice No. : Sinv-1019-17</t>
  </si>
  <si>
    <t>JDW Sugar Mills Ltd. (Corporate Farms)</t>
  </si>
  <si>
    <r>
      <t xml:space="preserve">In Words : </t>
    </r>
    <r>
      <rPr>
        <sz val="10"/>
        <color theme="1"/>
        <rFont val="Calibri"/>
        <family val="2"/>
        <scheme val="minor"/>
      </rPr>
      <t>Seventy Thousand Five Hundred and Fifty One Only.</t>
    </r>
  </si>
  <si>
    <t>Invoice No. : Sinv-1019-18</t>
  </si>
  <si>
    <t>AKT Sugar Mills Pvt. Ltd.</t>
  </si>
  <si>
    <t>Khambhra, Taluka, Ubauro, Ghotki Ubauro</t>
  </si>
  <si>
    <t>NTN 5135126-5-7, GST 32-77-8761-545-38</t>
  </si>
  <si>
    <t>PR-Q5949A (Twin Pack)</t>
  </si>
  <si>
    <t>PR-CC364A</t>
  </si>
  <si>
    <t>PR-CE390A</t>
  </si>
  <si>
    <t>PR-CE285A (Twin Pack)</t>
  </si>
  <si>
    <t>Invoice No. : Sinv-1019-19</t>
  </si>
  <si>
    <t>Invoice Date : 9th October 2019</t>
  </si>
  <si>
    <t>PO 3601</t>
  </si>
  <si>
    <t>False Ceiling Fan 
PMC Brand</t>
  </si>
  <si>
    <t>NTN 1456150-6</t>
  </si>
  <si>
    <r>
      <t xml:space="preserve">In Words : </t>
    </r>
    <r>
      <rPr>
        <sz val="10"/>
        <color theme="1"/>
        <rFont val="Calibri"/>
        <family val="2"/>
        <scheme val="minor"/>
      </rPr>
      <t>Eleven Thousand Nine Hundred and Thiry Four Only</t>
    </r>
  </si>
  <si>
    <t>Invoice No. : Sinv-1019-20</t>
  </si>
  <si>
    <t>Lower Bracket Fan 14"
Royal Brand</t>
  </si>
  <si>
    <r>
      <t xml:space="preserve">In Words : </t>
    </r>
    <r>
      <rPr>
        <sz val="10"/>
        <color theme="1"/>
        <rFont val="Calibri"/>
        <family val="2"/>
        <scheme val="minor"/>
      </rPr>
      <t>Twenty Two Thousand Five Hundred and Twenty Four Only</t>
    </r>
  </si>
  <si>
    <r>
      <t xml:space="preserve">In Words : </t>
    </r>
    <r>
      <rPr>
        <sz val="10"/>
        <color theme="1"/>
        <rFont val="Calibri"/>
        <family val="2"/>
        <scheme val="minor"/>
      </rPr>
      <t>Thirty Two Thousand Seven Hundred and Sixty Only.</t>
    </r>
  </si>
  <si>
    <t>Invoice No. : Sinv-1019-21</t>
  </si>
  <si>
    <t>Invoice Date : 11th October 2019</t>
  </si>
  <si>
    <t>Eminent Business System</t>
  </si>
  <si>
    <t>Office G-44, Jinna Plaza</t>
  </si>
  <si>
    <t>NTN 3017020-6 , GST 32-77-8761-172-88</t>
  </si>
  <si>
    <t>PR-CE285A ( Twin Pack )</t>
  </si>
  <si>
    <r>
      <t xml:space="preserve">In Words : </t>
    </r>
    <r>
      <rPr>
        <sz val="10"/>
        <color theme="1"/>
        <rFont val="Calibri"/>
        <family val="2"/>
        <scheme val="minor"/>
      </rPr>
      <t>Fourty Thousand One Hundred and Twenty Only</t>
    </r>
  </si>
  <si>
    <t>Invoice No. : Sinv-1019-22</t>
  </si>
  <si>
    <t>Invoice Date : 12th October 2019</t>
  </si>
  <si>
    <t>PO 2019-4073-014</t>
  </si>
  <si>
    <r>
      <t xml:space="preserve">In Words : </t>
    </r>
    <r>
      <rPr>
        <sz val="10"/>
        <color theme="1"/>
        <rFont val="Calibri"/>
        <family val="2"/>
        <scheme val="minor"/>
      </rPr>
      <t>One Hundred and Five Only</t>
    </r>
  </si>
  <si>
    <t>Tape Measuring 5 Meter</t>
  </si>
  <si>
    <r>
      <t xml:space="preserve">In Words : </t>
    </r>
    <r>
      <rPr>
        <sz val="10"/>
        <color theme="1"/>
        <rFont val="Calibri"/>
        <family val="2"/>
        <scheme val="minor"/>
      </rPr>
      <t>Four Hundred and Twenty one only</t>
    </r>
  </si>
  <si>
    <t>Invoice No. : Sinv-1019-23</t>
  </si>
  <si>
    <t>PO 2019-4073-013</t>
  </si>
  <si>
    <t>Deharki Sugar Mills Pvt. Ltd.</t>
  </si>
  <si>
    <t>Deharki Sugar Mills Pvt. Ltd., Deharki</t>
  </si>
  <si>
    <t>GST 17-00-3652-565-19</t>
  </si>
  <si>
    <t>Invoice No. : Sinv-1019-24</t>
  </si>
  <si>
    <t>Invoice Date : 16th October 2019</t>
  </si>
  <si>
    <t>PO 2019-4073-016</t>
  </si>
  <si>
    <t>Calculator 9300 China</t>
  </si>
  <si>
    <r>
      <t xml:space="preserve">In Words : </t>
    </r>
    <r>
      <rPr>
        <sz val="10"/>
        <color theme="1"/>
        <rFont val="Calibri"/>
        <family val="2"/>
        <scheme val="minor"/>
      </rPr>
      <t>Seven Hundred and Sixty One only</t>
    </r>
  </si>
  <si>
    <t>Invoice No. : Sinv-1019-25</t>
  </si>
  <si>
    <t>PO 2019-4073-015</t>
  </si>
  <si>
    <t>Folder Plastic A3 Size</t>
  </si>
  <si>
    <r>
      <t xml:space="preserve">In Words : </t>
    </r>
    <r>
      <rPr>
        <sz val="10"/>
        <color theme="1"/>
        <rFont val="Calibri"/>
        <family val="2"/>
        <scheme val="minor"/>
      </rPr>
      <t>Two Hundred and Twenty Five only</t>
    </r>
  </si>
  <si>
    <r>
      <t xml:space="preserve">In Words : </t>
    </r>
    <r>
      <rPr>
        <sz val="10"/>
        <color theme="1"/>
        <rFont val="Calibri"/>
        <family val="2"/>
        <scheme val="minor"/>
      </rPr>
      <t>Three Hundred Ninteen Thousand and Fifty Nine Only.</t>
    </r>
  </si>
  <si>
    <t xml:space="preserve">PR-Q5942A / 45A </t>
  </si>
  <si>
    <t>Invoice No. : Sinv-1019-26</t>
  </si>
  <si>
    <t>Invoice Date : 22nd October 2019</t>
  </si>
  <si>
    <t>PO # JD2-1</t>
  </si>
  <si>
    <t>PR-CE740A ( HP Laserjet )</t>
  </si>
  <si>
    <r>
      <t xml:space="preserve">In Words : </t>
    </r>
    <r>
      <rPr>
        <sz val="10"/>
        <color theme="1"/>
        <rFont val="Calibri"/>
        <family val="2"/>
        <scheme val="minor"/>
      </rPr>
      <t>Seventeen Thousand Five Hundred and Fifty Only.</t>
    </r>
  </si>
  <si>
    <t>Invoice No. : Sinv-1019-27</t>
  </si>
  <si>
    <t>PO No. JD3-1</t>
  </si>
  <si>
    <r>
      <t xml:space="preserve">In Words : </t>
    </r>
    <r>
      <rPr>
        <sz val="10"/>
        <color theme="1"/>
        <rFont val="Calibri"/>
        <family val="2"/>
        <scheme val="minor"/>
      </rPr>
      <t>Fourty Six Thousand Eight Hundred Only.</t>
    </r>
  </si>
  <si>
    <t>PO No. JD1-7</t>
  </si>
  <si>
    <t>Invoice No. : Sinv-1019-28</t>
  </si>
  <si>
    <t>PR-CE310A</t>
  </si>
  <si>
    <t>PR-CE311A</t>
  </si>
  <si>
    <t>PR-CE312A</t>
  </si>
  <si>
    <t>PR-CE313A</t>
  </si>
  <si>
    <t>Invoice Date : 22nd Oct 2019</t>
  </si>
  <si>
    <t>Invoice No. : Sinv-1019-29</t>
  </si>
  <si>
    <t>Invoice No. : Sinv-1019-30</t>
  </si>
  <si>
    <t>Invoice Date : 23rd October 2019</t>
  </si>
  <si>
    <t>Bhanero Textile Mills Ltd.</t>
  </si>
  <si>
    <t>Umer House 23/1, Sector 23, SM Farooq Road,</t>
  </si>
  <si>
    <t>Korangi Industrial Area, Karachi</t>
  </si>
  <si>
    <t>NTN 0801219-9</t>
  </si>
  <si>
    <t>Signature Blu Ball Pen - Blue</t>
  </si>
  <si>
    <t>Duplicate Book Copy Size</t>
  </si>
  <si>
    <t>File Cover (Card file 6 no)</t>
  </si>
  <si>
    <t>Register 200 Pages A4 Size</t>
  </si>
  <si>
    <t>KCR Carbon Paper - Blue</t>
  </si>
  <si>
    <t xml:space="preserve">Dollar Stapler Pin 10 # </t>
  </si>
  <si>
    <t>Deli Stapler Machine 10 #</t>
  </si>
  <si>
    <t>Brown Envelope Legal Size</t>
  </si>
  <si>
    <t>Brown Envelope 9x4</t>
  </si>
  <si>
    <t>Dollar Permanent Marker Ink - Black</t>
  </si>
  <si>
    <t>PPC 70 Gram A4 Size</t>
  </si>
  <si>
    <r>
      <t xml:space="preserve">In Words : </t>
    </r>
    <r>
      <rPr>
        <sz val="10"/>
        <color theme="1"/>
        <rFont val="Calibri"/>
        <family val="2"/>
        <scheme val="minor"/>
      </rPr>
      <t>Thirty Eight Thousand Two Hundred and Sixty Two Only.</t>
    </r>
  </si>
  <si>
    <t>PO 064</t>
  </si>
  <si>
    <r>
      <t xml:space="preserve">In Words : </t>
    </r>
    <r>
      <rPr>
        <sz val="10"/>
        <color theme="1"/>
        <rFont val="Calibri"/>
        <family val="2"/>
        <scheme val="minor"/>
      </rPr>
      <t>Five Thousand Three Hundred and Twenty Four Only</t>
    </r>
  </si>
  <si>
    <t>Invoice No. : Sinv-1019-31</t>
  </si>
  <si>
    <t>Invoice Date : 29th October 2019</t>
  </si>
  <si>
    <t>PO No. 4500034267</t>
  </si>
  <si>
    <r>
      <t xml:space="preserve">In Words : </t>
    </r>
    <r>
      <rPr>
        <sz val="10"/>
        <color theme="1"/>
        <rFont val="Calibri"/>
        <family val="2"/>
        <scheme val="minor"/>
      </rPr>
      <t>Eleven Thousand One Hundred and Thirty Eight Only.</t>
    </r>
  </si>
  <si>
    <t>Invoice No. : Sinv-1019-32</t>
  </si>
  <si>
    <t>Invoice Date : 30th October 2019</t>
  </si>
  <si>
    <t>PO 8800735678</t>
  </si>
  <si>
    <t>NTN 1253454-4</t>
  </si>
  <si>
    <t>Invoice Date : 1st Nov 2019</t>
  </si>
  <si>
    <t>Invoice No. : Sinv-1119-01</t>
  </si>
  <si>
    <r>
      <t xml:space="preserve">In Words : </t>
    </r>
    <r>
      <rPr>
        <sz val="10"/>
        <color theme="1"/>
        <rFont val="Calibri"/>
        <family val="2"/>
        <scheme val="minor"/>
      </rPr>
      <t>Two Thousand and Eighty Two Only.</t>
    </r>
  </si>
  <si>
    <t>NTN 1056313-0</t>
  </si>
  <si>
    <t>Invoice No. : Sinv-1119-02</t>
  </si>
  <si>
    <t>Invoice Date : 1st November 2019</t>
  </si>
  <si>
    <t>PO 2019-4073-018</t>
  </si>
  <si>
    <t>Pointer Red Uniball</t>
  </si>
  <si>
    <t>Hole Punch Opal 500</t>
  </si>
  <si>
    <t>Ball Point Pen Blue</t>
  </si>
  <si>
    <r>
      <t xml:space="preserve">In Words : </t>
    </r>
    <r>
      <rPr>
        <sz val="10"/>
        <color theme="1"/>
        <rFont val="Calibri"/>
        <family val="2"/>
        <scheme val="minor"/>
      </rPr>
      <t>Six Thousand Nine Hundred and Eight Only</t>
    </r>
  </si>
  <si>
    <t>C</t>
  </si>
  <si>
    <t>PCT 9608</t>
  </si>
  <si>
    <t>PCT 4819</t>
  </si>
  <si>
    <t>PCT 4820</t>
  </si>
  <si>
    <t>Invoice No. : Sinv-1119-03</t>
  </si>
  <si>
    <t>Invoice Date : 5th November 2019</t>
  </si>
  <si>
    <r>
      <t xml:space="preserve">In Words : </t>
    </r>
    <r>
      <rPr>
        <sz val="10"/>
        <color theme="1"/>
        <rFont val="Calibri"/>
        <family val="2"/>
        <scheme val="minor"/>
      </rPr>
      <t>Eight Hundred and Four.</t>
    </r>
  </si>
  <si>
    <t>PO 2019-4073-020</t>
  </si>
  <si>
    <t>Invoice No. : Sinv-1119-04</t>
  </si>
  <si>
    <t>PO 2019-4073-021</t>
  </si>
  <si>
    <t>Hole Punch Heavy Duty Model 0303</t>
  </si>
  <si>
    <t>Stapler 23/17- H13</t>
  </si>
  <si>
    <r>
      <t xml:space="preserve">In Words : </t>
    </r>
    <r>
      <rPr>
        <sz val="10"/>
        <color theme="1"/>
        <rFont val="Calibri"/>
        <family val="2"/>
        <scheme val="minor"/>
      </rPr>
      <t>Six Thousand Three Hundred and Seventy Seven Only</t>
    </r>
  </si>
  <si>
    <t>Invoice No. : Sinv-1119-05</t>
  </si>
  <si>
    <t>PO 2019-4073-019</t>
  </si>
  <si>
    <r>
      <t xml:space="preserve">In Words : </t>
    </r>
    <r>
      <rPr>
        <sz val="10"/>
        <color theme="1"/>
        <rFont val="Calibri"/>
        <family val="2"/>
        <scheme val="minor"/>
      </rPr>
      <t>One Thousand Eight Hundred and Seventy Two Only</t>
    </r>
  </si>
  <si>
    <t>Invoice No. : Sinv-1119-06</t>
  </si>
  <si>
    <t>Total Parco Pakistan Ltd</t>
  </si>
  <si>
    <t xml:space="preserve">State Life Building 11, Abdullah </t>
  </si>
  <si>
    <t>Haroon Road - Karachi</t>
  </si>
  <si>
    <t>NTN # 1253454-4</t>
  </si>
  <si>
    <t>Ball Pen Picasso</t>
  </si>
  <si>
    <t>Gel Pen Black</t>
  </si>
  <si>
    <t>Gel Pen Blue</t>
  </si>
  <si>
    <t>Correction Pen Whito</t>
  </si>
  <si>
    <t>Pencil AA &amp; AAA</t>
  </si>
  <si>
    <t xml:space="preserve">Binder Clips (25 MM) - (Pack of 12) </t>
  </si>
  <si>
    <t xml:space="preserve">Binder Clips (32 MM) - (Pack of 12) </t>
  </si>
  <si>
    <t xml:space="preserve">Stamp Pad </t>
  </si>
  <si>
    <t>Picasso Ball Pen</t>
  </si>
  <si>
    <t>Spiral Note Copy Size</t>
  </si>
  <si>
    <t>Color Office Ring File Legal Size Original</t>
  </si>
  <si>
    <t>Imported Box File 3"</t>
  </si>
  <si>
    <t>DN 0919-06</t>
  </si>
  <si>
    <t>DN 0919-15</t>
  </si>
  <si>
    <t>DN 0919-16</t>
  </si>
  <si>
    <t>DN 0919-17</t>
  </si>
  <si>
    <t>DN 0919-18</t>
  </si>
  <si>
    <t>DN 1019-12</t>
  </si>
  <si>
    <t>DN 1019-13</t>
  </si>
  <si>
    <t>DN 1019-14</t>
  </si>
  <si>
    <t>DN 1019-17</t>
  </si>
  <si>
    <t>DN 1019-20</t>
  </si>
  <si>
    <t>Invoice No. : Sinv-1119-07</t>
  </si>
  <si>
    <t>Invoice Date : 6th November 2019</t>
  </si>
  <si>
    <t>PO No. 4500034501</t>
  </si>
  <si>
    <t>Acid Bottle</t>
  </si>
  <si>
    <t>Liquid Bleach</t>
  </si>
  <si>
    <t>Rubber Pump</t>
  </si>
  <si>
    <t>Scotch Brite</t>
  </si>
  <si>
    <t>Roomi Air Freshner</t>
  </si>
  <si>
    <r>
      <t xml:space="preserve">In Words : </t>
    </r>
    <r>
      <rPr>
        <sz val="10"/>
        <color theme="1"/>
        <rFont val="Calibri"/>
        <family val="2"/>
        <scheme val="minor"/>
      </rPr>
      <t>Sixteen Thousand Two Hundred and Ten Only.</t>
    </r>
  </si>
  <si>
    <t>Invoice No. : Sinv-1119-08</t>
  </si>
  <si>
    <t>Invoice Date : 7th November 2019</t>
  </si>
  <si>
    <t>PO AKT-7</t>
  </si>
  <si>
    <t>PR-CE505X ( HP-2055 )</t>
  </si>
  <si>
    <t>Invoice Date : 8th November 2019</t>
  </si>
  <si>
    <t>Invoice No. : Sinv-1119-09</t>
  </si>
  <si>
    <t>PO No. 4500034542</t>
  </si>
  <si>
    <t>Spirit</t>
  </si>
  <si>
    <r>
      <t xml:space="preserve">In Words : </t>
    </r>
    <r>
      <rPr>
        <sz val="10"/>
        <color theme="1"/>
        <rFont val="Calibri"/>
        <family val="2"/>
        <scheme val="minor"/>
      </rPr>
      <t>Eight Thousand Four Hundred and Twenty Four Only.</t>
    </r>
  </si>
  <si>
    <t>NTN 0683821-9</t>
  </si>
  <si>
    <t>Invoice Date : 11th November 2019</t>
  </si>
  <si>
    <t>Invoice No. : Sinv-1119-10</t>
  </si>
  <si>
    <t>Sugar  1 KG</t>
  </si>
  <si>
    <t>Phynyle Finis</t>
  </si>
  <si>
    <t>Dry refil</t>
  </si>
  <si>
    <t>Mop Stick</t>
  </si>
  <si>
    <t>Hand Wash 250ml</t>
  </si>
  <si>
    <t>Mortien</t>
  </si>
  <si>
    <t>Invoice No. : Sinv-1119-11</t>
  </si>
  <si>
    <t>BLC Paper 70Gram</t>
  </si>
  <si>
    <r>
      <t xml:space="preserve">In Words : </t>
    </r>
    <r>
      <rPr>
        <sz val="10"/>
        <color theme="1"/>
        <rFont val="Calibri"/>
        <family val="2"/>
        <scheme val="minor"/>
      </rPr>
      <t>Twelve Thousand Seven Hundred and Seventy Two Only.</t>
    </r>
  </si>
  <si>
    <t>Invoice No. : Sinv-1119-12</t>
  </si>
  <si>
    <t>Hijeen Tissue</t>
  </si>
  <si>
    <t xml:space="preserve">Tissue Box MISK </t>
  </si>
  <si>
    <t>Rose Petal Luxury</t>
  </si>
  <si>
    <r>
      <t xml:space="preserve">In Words : </t>
    </r>
    <r>
      <rPr>
        <sz val="10"/>
        <color theme="1"/>
        <rFont val="Calibri"/>
        <family val="2"/>
        <scheme val="minor"/>
      </rPr>
      <t>Seventeen Thousand Nine Hundred and One Only.</t>
    </r>
  </si>
  <si>
    <t>Invoice No. : Sinv-1119-13</t>
  </si>
  <si>
    <t>Invoice No. : Sinv-1119-14</t>
  </si>
  <si>
    <t>Invoice Date : 13th November 2019</t>
  </si>
  <si>
    <t>PO No. JD1-11637</t>
  </si>
  <si>
    <t>17-Abid Majeed Road, Lahore Cantt.</t>
  </si>
  <si>
    <t>PR-Q7553A (Twin Pack)</t>
  </si>
  <si>
    <r>
      <t xml:space="preserve">In Words : </t>
    </r>
    <r>
      <rPr>
        <sz val="10"/>
        <color theme="1"/>
        <rFont val="Calibri"/>
        <family val="2"/>
        <scheme val="minor"/>
      </rPr>
      <t>Seventy Seven Thousand Nine Hundred and Twenty Two Only.</t>
    </r>
  </si>
  <si>
    <t>Invoice No. : Sinv-1119-15</t>
  </si>
  <si>
    <t>Surf Powder Loosee</t>
  </si>
  <si>
    <t>Plastic Brush</t>
  </si>
  <si>
    <t>Broom Coir Hard</t>
  </si>
  <si>
    <t>Bleach Liquid</t>
  </si>
  <si>
    <t>Vim Powder</t>
  </si>
  <si>
    <t>Handwash Lotion (Bottles)</t>
  </si>
  <si>
    <t>Wiper with Hander</t>
  </si>
  <si>
    <t>Scotch Bright w/o Sponge</t>
  </si>
  <si>
    <t>Perfume Jasmine</t>
  </si>
  <si>
    <t>Ltr.</t>
  </si>
  <si>
    <t>Tin</t>
  </si>
  <si>
    <t xml:space="preserve">No. </t>
  </si>
  <si>
    <r>
      <t xml:space="preserve">In Words : </t>
    </r>
    <r>
      <rPr>
        <sz val="10"/>
        <color theme="1"/>
        <rFont val="Calibri"/>
        <family val="2"/>
        <scheme val="minor"/>
      </rPr>
      <t>Twenty Three Thousand Four Hundred and Eighty Only.</t>
    </r>
  </si>
  <si>
    <t>Invoice No. : Sinv-1119-16</t>
  </si>
  <si>
    <t>PO 2019-4073-024</t>
  </si>
  <si>
    <r>
      <t xml:space="preserve">In Words : </t>
    </r>
    <r>
      <rPr>
        <sz val="10"/>
        <color theme="1"/>
        <rFont val="Calibri"/>
        <family val="2"/>
        <scheme val="minor"/>
      </rPr>
      <t>Two Thousand One Hundred and Six Only</t>
    </r>
  </si>
  <si>
    <t>Invoice No. : Sinv-1119-17</t>
  </si>
  <si>
    <t>PO 2019-4073-023</t>
  </si>
  <si>
    <t>Cell Size 1.5 V</t>
  </si>
  <si>
    <t>Tape Double Size 1"</t>
  </si>
  <si>
    <r>
      <t xml:space="preserve">In Words : One </t>
    </r>
    <r>
      <rPr>
        <sz val="10"/>
        <color theme="1"/>
        <rFont val="Calibri"/>
        <family val="2"/>
        <scheme val="minor"/>
      </rPr>
      <t>Thousand Four Hundred and Eighteen Only</t>
    </r>
  </si>
  <si>
    <t>Invoice No. : Sinv-1119-18</t>
  </si>
  <si>
    <r>
      <t xml:space="preserve">In Words : </t>
    </r>
    <r>
      <rPr>
        <sz val="10"/>
        <color theme="1"/>
        <rFont val="Calibri"/>
        <family val="2"/>
        <scheme val="minor"/>
      </rPr>
      <t>One Thousand Four Hundred and Seventy Four Only</t>
    </r>
  </si>
  <si>
    <t>PO 2019-4073-022</t>
  </si>
  <si>
    <t>Invoice No. : Sinv-1119-19</t>
  </si>
  <si>
    <r>
      <t xml:space="preserve">In Words : </t>
    </r>
    <r>
      <rPr>
        <sz val="10"/>
        <color theme="1"/>
        <rFont val="Calibri"/>
        <family val="2"/>
        <scheme val="minor"/>
      </rPr>
      <t>Eight Hundred and Four Only</t>
    </r>
  </si>
  <si>
    <t>Invoice No. : Sinv-1119-20</t>
  </si>
  <si>
    <t>Invoice Date : 16th November 2019</t>
  </si>
  <si>
    <t>PO 8800742378</t>
  </si>
  <si>
    <r>
      <t xml:space="preserve">In Words : </t>
    </r>
    <r>
      <rPr>
        <sz val="10"/>
        <color theme="1"/>
        <rFont val="Calibri"/>
        <family val="2"/>
        <scheme val="minor"/>
      </rPr>
      <t>Thirty Nine Thousand Seven Hundred and Eighty Only</t>
    </r>
  </si>
  <si>
    <t>Invoice No. : Sinv-1119-21</t>
  </si>
  <si>
    <t>Invoice Date : 19th November 2019</t>
  </si>
  <si>
    <t>PO No. 4500034623</t>
  </si>
  <si>
    <t>Longhandle Dustbin and Brush</t>
  </si>
  <si>
    <r>
      <t xml:space="preserve">In Words : </t>
    </r>
    <r>
      <rPr>
        <sz val="10"/>
        <color theme="1"/>
        <rFont val="Calibri"/>
        <family val="2"/>
        <scheme val="minor"/>
      </rPr>
      <t>Six Thousand Four Hundred and Thirty Five Only.</t>
    </r>
  </si>
  <si>
    <t>Invoice No. : Sinv-1119-22</t>
  </si>
  <si>
    <t>PO No. 4500034733</t>
  </si>
  <si>
    <t>Rough Pad L</t>
  </si>
  <si>
    <t>Marker Ink Black</t>
  </si>
  <si>
    <t>Marker Black</t>
  </si>
  <si>
    <t>PCT 9609</t>
  </si>
  <si>
    <t>PCT 4810</t>
  </si>
  <si>
    <t>PCT 3215</t>
  </si>
  <si>
    <r>
      <t xml:space="preserve">In Words : </t>
    </r>
    <r>
      <rPr>
        <sz val="10"/>
        <color theme="1"/>
        <rFont val="Calibri"/>
        <family val="2"/>
        <scheme val="minor"/>
      </rPr>
      <t>Ninety Four Thousand and Twenty Nine  Only.</t>
    </r>
  </si>
  <si>
    <r>
      <t xml:space="preserve">In Words : </t>
    </r>
    <r>
      <rPr>
        <sz val="10"/>
        <color theme="1"/>
        <rFont val="Calibri"/>
        <family val="2"/>
        <scheme val="minor"/>
      </rPr>
      <t>Fifty Thousand Five Hundred and Thirty Five Only</t>
    </r>
  </si>
  <si>
    <t>Invoice No. : Sinv-1119-23</t>
  </si>
  <si>
    <t>Invoice Date : 25th November 2019</t>
  </si>
  <si>
    <t>Eraser</t>
  </si>
  <si>
    <t>Rolled Paper 20 Quair</t>
  </si>
  <si>
    <r>
      <t xml:space="preserve">In Words : </t>
    </r>
    <r>
      <rPr>
        <sz val="10"/>
        <color theme="1"/>
        <rFont val="Calibri"/>
        <family val="2"/>
        <scheme val="minor"/>
      </rPr>
      <t>Ninteen Thousand Eight Hundred and Fourty Nine Only.</t>
    </r>
  </si>
  <si>
    <t>Invoice No. : Sinv-1119-24</t>
  </si>
  <si>
    <t>Invoice Date : 26th November 2019</t>
  </si>
  <si>
    <r>
      <t xml:space="preserve">In Words : </t>
    </r>
    <r>
      <rPr>
        <sz val="10"/>
        <color theme="1"/>
        <rFont val="Calibri"/>
        <family val="2"/>
        <scheme val="minor"/>
      </rPr>
      <t>Eleven Thousand Seven Hundred and Ninety Four Only.</t>
    </r>
  </si>
  <si>
    <t>Invoice No. : Sinv-1119-25</t>
  </si>
  <si>
    <t>Invoice Date : 27th November 2019</t>
  </si>
  <si>
    <t>Pad Note Small (Sticker)</t>
  </si>
  <si>
    <t>Pointer Blue Uniball</t>
  </si>
  <si>
    <t>Dairy Small</t>
  </si>
  <si>
    <t>Stapler Small</t>
  </si>
  <si>
    <r>
      <t xml:space="preserve">In Words : </t>
    </r>
    <r>
      <rPr>
        <sz val="10"/>
        <color theme="1"/>
        <rFont val="Calibri"/>
        <family val="2"/>
        <scheme val="minor"/>
      </rPr>
      <t>Four Thousand Six Hundred and Fifty Eight only</t>
    </r>
  </si>
  <si>
    <t>PO 2019-4073-034</t>
  </si>
  <si>
    <t>Invoice No. : Sinv-1119-26</t>
  </si>
  <si>
    <t>Invoice Date : 27th Sep 2019</t>
  </si>
  <si>
    <t>NR-12919</t>
  </si>
  <si>
    <t>Battery Cell AA</t>
  </si>
  <si>
    <t>Broom Hard</t>
  </si>
  <si>
    <t>Phenyle</t>
  </si>
  <si>
    <t>Elfy</t>
  </si>
  <si>
    <t>Aerosol Spray Red</t>
  </si>
  <si>
    <t>Clamp Jubilee 4"</t>
  </si>
  <si>
    <t>Tape Masking 50mm</t>
  </si>
  <si>
    <t>Tape Masking 25mm</t>
  </si>
  <si>
    <t>Sealant Silicon RTV-33</t>
  </si>
  <si>
    <t>Cane</t>
  </si>
  <si>
    <r>
      <t xml:space="preserve">In Words : </t>
    </r>
    <r>
      <rPr>
        <sz val="10"/>
        <color theme="1"/>
        <rFont val="Calibri"/>
        <family val="2"/>
        <scheme val="minor"/>
      </rPr>
      <t>Thirty Thousand Six Hundred and Fifty Five Only.</t>
    </r>
  </si>
  <si>
    <t>JK Sugar Mills Pvt. Ltd.</t>
  </si>
  <si>
    <t>NTN 7494608-2, GST 32-77-8761-372-46</t>
  </si>
  <si>
    <t>Invoice No. : Sinv-1219-02</t>
  </si>
  <si>
    <t>Invoice No. : Sinv-1219-01</t>
  </si>
  <si>
    <t>Invoice Date : 3rd Dec 2019</t>
  </si>
  <si>
    <t>PO 4300000292</t>
  </si>
  <si>
    <t>Ball Pen Blue/Black</t>
  </si>
  <si>
    <t>Scale Wood/Steel</t>
  </si>
  <si>
    <t>Rubber Pencil (Eraser)</t>
  </si>
  <si>
    <t>Staple Machine</t>
  </si>
  <si>
    <r>
      <t xml:space="preserve">In Words : </t>
    </r>
    <r>
      <rPr>
        <sz val="10"/>
        <color theme="1"/>
        <rFont val="Calibri"/>
        <family val="2"/>
        <scheme val="minor"/>
      </rPr>
      <t>Thirty Thousand Two Hundred and Ninety Six Only</t>
    </r>
  </si>
  <si>
    <t>Invoice Date : 3rd December 2019</t>
  </si>
  <si>
    <t>PO 2019-4073-036</t>
  </si>
  <si>
    <t>Pen Green</t>
  </si>
  <si>
    <t>Pointer Black Uniball</t>
  </si>
  <si>
    <t>Register 120 pages</t>
  </si>
  <si>
    <t>Pen Blue</t>
  </si>
  <si>
    <t>Book Duplicate 1/8 Small</t>
  </si>
  <si>
    <r>
      <t xml:space="preserve">In Words : </t>
    </r>
    <r>
      <rPr>
        <sz val="10"/>
        <color theme="1"/>
        <rFont val="Calibri"/>
        <family val="2"/>
        <scheme val="minor"/>
      </rPr>
      <t>Twenty One Thousand Eight Hundred and Five only</t>
    </r>
  </si>
  <si>
    <t>COMMERCIAL INVOICE</t>
  </si>
  <si>
    <t>Stationery Items ( Taxable )</t>
  </si>
  <si>
    <t>Stationery Items ( Exempt )</t>
  </si>
  <si>
    <t>Invoice No. : Sinv-1219-09</t>
  </si>
  <si>
    <t>Invoice Date : 6th Dec 2019</t>
  </si>
  <si>
    <t>Register 100 Pages</t>
  </si>
  <si>
    <t>Stamp pad</t>
  </si>
  <si>
    <t>Rubber Band 400 gram</t>
  </si>
  <si>
    <t>Rubber Band 50 Gram Packet</t>
  </si>
  <si>
    <t>Fiber Ring File</t>
  </si>
  <si>
    <t>Staple Remover Kangaroo</t>
  </si>
  <si>
    <r>
      <t xml:space="preserve">In Words : </t>
    </r>
    <r>
      <rPr>
        <sz val="10"/>
        <color theme="1"/>
        <rFont val="Calibri"/>
        <family val="2"/>
        <scheme val="minor"/>
      </rPr>
      <t>Eighteen Thousand One Hundred and Thirty Five Only</t>
    </r>
  </si>
  <si>
    <t>PO 4300000291</t>
  </si>
  <si>
    <t>Invoice No. : Sinv-1219-10</t>
  </si>
  <si>
    <t>PO 3400000070</t>
  </si>
  <si>
    <t>Invoice No. : Sinv-1219-03</t>
  </si>
  <si>
    <t>Invoice Date : 4th December 2019</t>
  </si>
  <si>
    <t>Scotch Brite Dish Wash Foam</t>
  </si>
  <si>
    <r>
      <t xml:space="preserve">In Words : </t>
    </r>
    <r>
      <rPr>
        <sz val="10"/>
        <color theme="1"/>
        <rFont val="Calibri"/>
        <family val="2"/>
        <scheme val="minor"/>
      </rPr>
      <t>Two Hundred and Six Only</t>
    </r>
  </si>
  <si>
    <t>PO 1262</t>
  </si>
  <si>
    <t>Invoice No. : Sinv-1219-04</t>
  </si>
  <si>
    <t>PO 1291</t>
  </si>
  <si>
    <t>Scotch Brite Pad Economy Size</t>
  </si>
  <si>
    <r>
      <t xml:space="preserve">In Words : </t>
    </r>
    <r>
      <rPr>
        <sz val="10"/>
        <color theme="1"/>
        <rFont val="Calibri"/>
        <family val="2"/>
        <scheme val="minor"/>
      </rPr>
      <t>Five Thousand Six Hundred and Sixteen</t>
    </r>
  </si>
  <si>
    <t>Invoice No. : Sinv-1219-05</t>
  </si>
  <si>
    <t>PO 1265</t>
  </si>
  <si>
    <t xml:space="preserve"> Mosquito Repellent Mospel Oil Lotion 45Ml-Bottle</t>
  </si>
  <si>
    <r>
      <t xml:space="preserve">In Words : </t>
    </r>
    <r>
      <rPr>
        <sz val="10"/>
        <color theme="1"/>
        <rFont val="Calibri"/>
        <family val="2"/>
        <scheme val="minor"/>
      </rPr>
      <t>Five Thousand and Ninety Seven Only</t>
    </r>
  </si>
  <si>
    <t>Invoice No. : Sinv-1219-06</t>
  </si>
  <si>
    <t>Invoice Date : 9th December 2019</t>
  </si>
  <si>
    <t>Garbage bag 18x24</t>
  </si>
  <si>
    <t>Garbage bag 24x36</t>
  </si>
  <si>
    <t>Max Lemon Liquid</t>
  </si>
  <si>
    <t>Harpic Toilet Cleaner</t>
  </si>
  <si>
    <t>Scotch Bright Dish Wash Foam</t>
  </si>
  <si>
    <t>Finis Phenle</t>
  </si>
  <si>
    <t>Roomi Air Freshner Hanger</t>
  </si>
  <si>
    <t>Perfect Air Freshner</t>
  </si>
  <si>
    <t>Hand Duster</t>
  </si>
  <si>
    <t>Mop Refills</t>
  </si>
  <si>
    <t>Surf Excel 1 KG</t>
  </si>
  <si>
    <t>Broom</t>
  </si>
  <si>
    <t>Mortein Insect Killer</t>
  </si>
  <si>
    <t>Executive Hand Wash Bottle</t>
  </si>
  <si>
    <r>
      <t xml:space="preserve">In Words : </t>
    </r>
    <r>
      <rPr>
        <sz val="10"/>
        <color theme="1"/>
        <rFont val="Calibri"/>
        <family val="2"/>
        <scheme val="minor"/>
      </rPr>
      <t>Seventeen Thousand Eight Hundred and Sixty One Only.</t>
    </r>
  </si>
  <si>
    <t>Invoice No. : Sinv-1219-07</t>
  </si>
  <si>
    <t>Unbranded Tissue / Toilet Roll</t>
  </si>
  <si>
    <t>Rose Petal Luxury Facial Tissue</t>
  </si>
  <si>
    <t>Misk Facial Tissue (Classic)</t>
  </si>
  <si>
    <t>Rose Hijeen  Towel White Tissue</t>
  </si>
  <si>
    <r>
      <t xml:space="preserve">In Words : </t>
    </r>
    <r>
      <rPr>
        <sz val="10"/>
        <color theme="1"/>
        <rFont val="Calibri"/>
        <family val="2"/>
        <scheme val="minor"/>
      </rPr>
      <t>Sixteen Thousand Five Hundred and Fifty Six Only.</t>
    </r>
  </si>
  <si>
    <t>Invoice No. : Sinv-1219-08</t>
  </si>
  <si>
    <t>Paper Blc 70gram A4 Size</t>
  </si>
  <si>
    <t>Invoice No. : Sinv-1219-11</t>
  </si>
  <si>
    <t>PO 1299</t>
  </si>
  <si>
    <t>Surf Power Loose in KG</t>
  </si>
  <si>
    <t>Broom Coir</t>
  </si>
  <si>
    <t>Toiler Paper</t>
  </si>
  <si>
    <t>Flush Cleaner (Harpic)</t>
  </si>
  <si>
    <t>Handwash Lotion Bottles</t>
  </si>
  <si>
    <t>Handwash Lotion Loose</t>
  </si>
  <si>
    <t>Wiper with Handle Medium</t>
  </si>
  <si>
    <t>Scotch Brite Pad</t>
  </si>
  <si>
    <t>Wiper Small Size for Window</t>
  </si>
  <si>
    <t>Plastic Bruch Angel Type</t>
  </si>
  <si>
    <r>
      <t xml:space="preserve">In Words : </t>
    </r>
    <r>
      <rPr>
        <sz val="10"/>
        <color theme="1"/>
        <rFont val="Calibri"/>
        <family val="2"/>
        <scheme val="minor"/>
      </rPr>
      <t>Twenty Nine Thousand Six Hundred and Seventy One Only.</t>
    </r>
  </si>
  <si>
    <t>Invoice No. : Sinv-1219-13</t>
  </si>
  <si>
    <t>Invoice No. : Sinv-1219-12</t>
  </si>
  <si>
    <t>Invoice Date : 10th December 2019</t>
  </si>
  <si>
    <t>Deli Stapler Machine 24/6</t>
  </si>
  <si>
    <t>PPC 70 Paper A4 Size</t>
  </si>
  <si>
    <t>Carbon Paper - Blue</t>
  </si>
  <si>
    <t>Singnatur Blue</t>
  </si>
  <si>
    <t>Paper Pin Office Pin</t>
  </si>
  <si>
    <t>Pelikan Eraser</t>
  </si>
  <si>
    <r>
      <t xml:space="preserve">In Words : </t>
    </r>
    <r>
      <rPr>
        <sz val="10"/>
        <color theme="1"/>
        <rFont val="Calibri"/>
        <family val="2"/>
        <scheme val="minor"/>
      </rPr>
      <t>Thirty Four Thousand Three Hundred and Twelve Only.</t>
    </r>
  </si>
  <si>
    <t>Faisal Spinning Ltd</t>
  </si>
  <si>
    <t>Invoice No. : Sinv-1219-14</t>
  </si>
  <si>
    <t>Dollar Permanent Marker - Green</t>
  </si>
  <si>
    <t>Dollar Permanent Marker Ink - Green</t>
  </si>
  <si>
    <t>Signature Blu Ball Pen - Black</t>
  </si>
  <si>
    <t>Signature Blu Ball Pen - Red</t>
  </si>
  <si>
    <t>Rolled Paper  20 Quari</t>
  </si>
  <si>
    <r>
      <t xml:space="preserve">In Words : </t>
    </r>
    <r>
      <rPr>
        <sz val="10"/>
        <color theme="1"/>
        <rFont val="Calibri"/>
        <family val="2"/>
        <scheme val="minor"/>
      </rPr>
      <t>Six Thousand Nine Hundred and Four Only.</t>
    </r>
  </si>
  <si>
    <t>Invoice No. : Sinv-1219-15</t>
  </si>
  <si>
    <t>Invoice Date : 11th December 2019</t>
  </si>
  <si>
    <t>Fuji Stapler Machine</t>
  </si>
  <si>
    <t>Calculator MJ-120</t>
  </si>
  <si>
    <t xml:space="preserve">UHU Glue Stick </t>
  </si>
  <si>
    <t>Kangaroo Pin Remover</t>
  </si>
  <si>
    <t>Cutter Blade</t>
  </si>
  <si>
    <r>
      <t xml:space="preserve">In Words : </t>
    </r>
    <r>
      <rPr>
        <sz val="10"/>
        <color theme="1"/>
        <rFont val="Calibri"/>
        <family val="2"/>
        <scheme val="minor"/>
      </rPr>
      <t>Three Hundred Fifty One Thousand Two Hundred and Fifty Seven Only.</t>
    </r>
  </si>
  <si>
    <t>Invoice Date : 13th December 2019</t>
  </si>
  <si>
    <t>Invoice No. : Sinv-1219-16</t>
  </si>
  <si>
    <t>PO 2019-4073-040</t>
  </si>
  <si>
    <r>
      <t xml:space="preserve">In Words : </t>
    </r>
    <r>
      <rPr>
        <sz val="10"/>
        <color theme="1"/>
        <rFont val="Calibri"/>
        <family val="2"/>
        <scheme val="minor"/>
      </rPr>
      <t>Five Thousand Two Hundred and Sixty Five only</t>
    </r>
  </si>
  <si>
    <t>PO No. JD3-13</t>
  </si>
  <si>
    <t>Mouza Lalu Wala, Tehsil &amp; District Ghotki</t>
  </si>
  <si>
    <t>Invoice No. : Sinv-1219-17</t>
  </si>
  <si>
    <t>HP 11 Yellow Printehead Cartridge C4813A</t>
  </si>
  <si>
    <t>HP 11 Yellow Printehead Cartridge C4812A</t>
  </si>
  <si>
    <t>Invoice No. : Sinv-1219-18</t>
  </si>
  <si>
    <t>Invoice Date : 16th December 2019</t>
  </si>
  <si>
    <t>PO 1375</t>
  </si>
  <si>
    <r>
      <t xml:space="preserve">In Words : </t>
    </r>
    <r>
      <rPr>
        <sz val="10"/>
        <color theme="1"/>
        <rFont val="Calibri"/>
        <family val="2"/>
        <scheme val="minor"/>
      </rPr>
      <t>Twenty Nine Thousand Three Hundred and Twenty Only.</t>
    </r>
  </si>
  <si>
    <t>Invoice No. : Sinv-1219-19</t>
  </si>
  <si>
    <t>PO No. 4500035219</t>
  </si>
  <si>
    <t>HP External USB DVD ROM Driver (Portable)</t>
  </si>
  <si>
    <r>
      <t xml:space="preserve">In Words : </t>
    </r>
    <r>
      <rPr>
        <sz val="10"/>
        <color theme="1"/>
        <rFont val="Calibri"/>
        <family val="2"/>
        <scheme val="minor"/>
      </rPr>
      <t>Four Thousand One Hundred and Seven Only.</t>
    </r>
  </si>
  <si>
    <t>Invoice Date : 17th December 2019</t>
  </si>
  <si>
    <t>Invoice No. : Sinv-1219-20</t>
  </si>
  <si>
    <t>PO JK-12</t>
  </si>
  <si>
    <t>HP Toner Set 204A
(CF510A, 511A, 512A, 513A)
for HP Color LaserJet M181</t>
  </si>
  <si>
    <t>HP Toner Black CF510A</t>
  </si>
  <si>
    <r>
      <t xml:space="preserve">In Words : </t>
    </r>
    <r>
      <rPr>
        <sz val="10"/>
        <color theme="1"/>
        <rFont val="Calibri"/>
        <family val="2"/>
        <scheme val="minor"/>
      </rPr>
      <t>Fourty Nine Thousand Seven Hundred and Twenty Five Only.</t>
    </r>
  </si>
  <si>
    <t xml:space="preserve">UHU No 14 (125ml) </t>
  </si>
  <si>
    <r>
      <t xml:space="preserve">In Words : </t>
    </r>
    <r>
      <rPr>
        <sz val="10"/>
        <color theme="1"/>
        <rFont val="Calibri"/>
        <family val="2"/>
        <scheme val="minor"/>
      </rPr>
      <t>Two Thousand Five Hundred and Twenty Seven Only</t>
    </r>
  </si>
  <si>
    <t>Invoice No. : Sinv-1219-21</t>
  </si>
  <si>
    <t>Invoice Date : 18th December 2019</t>
  </si>
  <si>
    <t>PO 2019-4073-041</t>
  </si>
  <si>
    <t>File Plastic A4 Size</t>
  </si>
  <si>
    <r>
      <t xml:space="preserve">In Words : </t>
    </r>
    <r>
      <rPr>
        <sz val="10"/>
        <color theme="1"/>
        <rFont val="Calibri"/>
        <family val="2"/>
        <scheme val="minor"/>
      </rPr>
      <t>Seventeen Thousand and Twenty Four only</t>
    </r>
  </si>
  <si>
    <t>Invoice Date : 20th December 2019</t>
  </si>
  <si>
    <t>Invoice No. : Sinv-1219-22</t>
  </si>
  <si>
    <t>PO No. 4500035331</t>
  </si>
  <si>
    <r>
      <t xml:space="preserve">In Words : </t>
    </r>
    <r>
      <rPr>
        <sz val="10"/>
        <color theme="1"/>
        <rFont val="Calibri"/>
        <family val="2"/>
        <scheme val="minor"/>
      </rPr>
      <t>Five Thousand Eight Hundred and Ninety Seven Only.</t>
    </r>
  </si>
  <si>
    <t>Invoice No. : Sinv-1219-23</t>
  </si>
  <si>
    <t>PO No. 4500035328</t>
  </si>
  <si>
    <r>
      <t xml:space="preserve">In Words : </t>
    </r>
    <r>
      <rPr>
        <sz val="10"/>
        <color theme="1"/>
        <rFont val="Calibri"/>
        <family val="2"/>
        <scheme val="minor"/>
      </rPr>
      <t>Four Thousand Four Hundred and Twenty Three Only.</t>
    </r>
  </si>
  <si>
    <t>Invoice No. : Sinv-1219-24</t>
  </si>
  <si>
    <t>Invoice Date : 23rd December 2019</t>
  </si>
  <si>
    <t>PO No. 4500035378</t>
  </si>
  <si>
    <t>Plastic Ring Files</t>
  </si>
  <si>
    <t>Invoice No. : Sinv-1219-25</t>
  </si>
  <si>
    <t>Invoice Date : 24th December 2019</t>
  </si>
  <si>
    <t>Invoice Date : 26th December 2019</t>
  </si>
  <si>
    <t>White Envelope Legal Size</t>
  </si>
  <si>
    <t>White Envelope A4 Size</t>
  </si>
  <si>
    <t>White Envelope Small</t>
  </si>
  <si>
    <r>
      <t xml:space="preserve">In Words : </t>
    </r>
    <r>
      <rPr>
        <sz val="10"/>
        <color theme="1"/>
        <rFont val="Calibri"/>
        <family val="2"/>
        <scheme val="minor"/>
      </rPr>
      <t>One Hundred Twenty Two Thousand Eight Hundred and Fifty Only.</t>
    </r>
  </si>
  <si>
    <t>Invoice No. : Sinv-1219-27</t>
  </si>
  <si>
    <t>Invoice No. : Sinv-1219-28</t>
  </si>
  <si>
    <t>UNI Ball Eye Micro</t>
  </si>
  <si>
    <t>UNI UB-120 Signo Fine</t>
  </si>
  <si>
    <t xml:space="preserve">Stapler Pin Dollar Small </t>
  </si>
  <si>
    <t>Writing Pad Medium</t>
  </si>
  <si>
    <t>Spiral Note A4 Size</t>
  </si>
  <si>
    <t>Pelikan Blanco White Correction Pen</t>
  </si>
  <si>
    <t>Transparent File D-Ring</t>
  </si>
  <si>
    <t xml:space="preserve">Tempo Marker </t>
  </si>
  <si>
    <r>
      <t xml:space="preserve">In Words : </t>
    </r>
    <r>
      <rPr>
        <sz val="10"/>
        <color theme="1"/>
        <rFont val="Calibri"/>
        <family val="2"/>
        <scheme val="minor"/>
      </rPr>
      <t>One Hundred Twenty Two Thousand Eight Hundred and Fifty Five Only</t>
    </r>
  </si>
  <si>
    <r>
      <t xml:space="preserve">In Words : </t>
    </r>
    <r>
      <rPr>
        <sz val="10"/>
        <color theme="1"/>
        <rFont val="Calibri"/>
        <family val="2"/>
        <scheme val="minor"/>
      </rPr>
      <t>Two Thousand and Thirty Three Only</t>
    </r>
  </si>
  <si>
    <t>Invoice No. : Sinv-1219-29</t>
  </si>
  <si>
    <r>
      <t xml:space="preserve">In Words : </t>
    </r>
    <r>
      <rPr>
        <sz val="10"/>
        <color theme="1"/>
        <rFont val="Calibri"/>
        <family val="2"/>
        <scheme val="minor"/>
      </rPr>
      <t>Five  Hundred and Ninety Only</t>
    </r>
  </si>
  <si>
    <t>Invoice No. : Sinv-1219-30</t>
  </si>
  <si>
    <t>Invoice No. : Sinv-1219-31</t>
  </si>
  <si>
    <r>
      <t xml:space="preserve">In Words : </t>
    </r>
    <r>
      <rPr>
        <sz val="10"/>
        <color theme="1"/>
        <rFont val="Calibri"/>
        <family val="2"/>
        <scheme val="minor"/>
      </rPr>
      <t>Three Thousand Eight Hundred and One Only</t>
    </r>
  </si>
  <si>
    <t>Invoice No. : Sinv-1219-32</t>
  </si>
  <si>
    <r>
      <t xml:space="preserve">In Words : </t>
    </r>
    <r>
      <rPr>
        <sz val="10"/>
        <color theme="1"/>
        <rFont val="Calibri"/>
        <family val="2"/>
        <scheme val="minor"/>
      </rPr>
      <t>Four Thousand One Hundred and Nineteen Only</t>
    </r>
  </si>
  <si>
    <r>
      <t xml:space="preserve">In Words : </t>
    </r>
    <r>
      <rPr>
        <sz val="10"/>
        <color theme="1"/>
        <rFont val="Calibri"/>
        <family val="2"/>
        <scheme val="minor"/>
      </rPr>
      <t>One Thousand Two Hundred and Fifty Nine Only</t>
    </r>
  </si>
  <si>
    <t>Invoice No. : Sinv-1219-33</t>
  </si>
  <si>
    <r>
      <t xml:space="preserve">In Words : </t>
    </r>
    <r>
      <rPr>
        <sz val="10"/>
        <color theme="1"/>
        <rFont val="Calibri"/>
        <family val="2"/>
        <scheme val="minor"/>
      </rPr>
      <t>Fourty Two Thousand Eight Hundred and Sixty Eight Only</t>
    </r>
  </si>
  <si>
    <t>Invoice No. : Sinv-1219-34</t>
  </si>
  <si>
    <t>Invoice No. : Sinv-1219-35</t>
  </si>
  <si>
    <t>Invoice No. : Sinv-1219-36</t>
  </si>
  <si>
    <r>
      <t xml:space="preserve">In Words : </t>
    </r>
    <r>
      <rPr>
        <sz val="10"/>
        <color theme="1"/>
        <rFont val="Calibri"/>
        <family val="2"/>
        <scheme val="minor"/>
      </rPr>
      <t>Two Thousand Eight Hundred and seventy three Only</t>
    </r>
  </si>
  <si>
    <t>Invoice No. : Sinv-1219-37</t>
  </si>
  <si>
    <r>
      <t xml:space="preserve">In Words : </t>
    </r>
    <r>
      <rPr>
        <sz val="10"/>
        <color theme="1"/>
        <rFont val="Calibri"/>
        <family val="2"/>
        <scheme val="minor"/>
      </rPr>
      <t>Two Thousand Two Hundred and Thirty Nine Only</t>
    </r>
  </si>
  <si>
    <t>Invoice No. : Sinv-1219-38</t>
  </si>
  <si>
    <r>
      <t xml:space="preserve">In Words : </t>
    </r>
    <r>
      <rPr>
        <sz val="10"/>
        <color theme="1"/>
        <rFont val="Calibri"/>
        <family val="2"/>
        <scheme val="minor"/>
      </rPr>
      <t>Two Thousand Eight Hundred and Eighty Two Only</t>
    </r>
  </si>
  <si>
    <t>Invoice No. : Sinv-1219-39</t>
  </si>
  <si>
    <r>
      <t xml:space="preserve">In Words : </t>
    </r>
    <r>
      <rPr>
        <sz val="10"/>
        <color theme="1"/>
        <rFont val="Calibri"/>
        <family val="2"/>
        <scheme val="minor"/>
      </rPr>
      <t>Two Thousand Six Hundred and Seventy One Only</t>
    </r>
  </si>
  <si>
    <r>
      <t xml:space="preserve">In Words : </t>
    </r>
    <r>
      <rPr>
        <sz val="10"/>
        <color theme="1"/>
        <rFont val="Calibri"/>
        <family val="2"/>
        <scheme val="minor"/>
      </rPr>
      <t>Four Thousand One Hundred and Ninety Only</t>
    </r>
  </si>
  <si>
    <t>Invoice No. : Sinv-1219-40</t>
  </si>
  <si>
    <t>Invoice No. : Sinv-1219-41</t>
  </si>
  <si>
    <r>
      <t xml:space="preserve">In Words : </t>
    </r>
    <r>
      <rPr>
        <sz val="10"/>
        <color theme="1"/>
        <rFont val="Calibri"/>
        <family val="2"/>
        <scheme val="minor"/>
      </rPr>
      <t>One Thousand Five Hundred and Twenty Nine Only</t>
    </r>
  </si>
  <si>
    <t>Invoice No. : Sinv-1219-42</t>
  </si>
  <si>
    <r>
      <t xml:space="preserve">In Words : </t>
    </r>
    <r>
      <rPr>
        <sz val="10"/>
        <color theme="1"/>
        <rFont val="Calibri"/>
        <family val="2"/>
        <scheme val="minor"/>
      </rPr>
      <t>Two Thousand Eight Hundred and Five Only</t>
    </r>
  </si>
  <si>
    <t>Invoice No. : Sinv-1219-43</t>
  </si>
  <si>
    <r>
      <t xml:space="preserve">In Words : </t>
    </r>
    <r>
      <rPr>
        <sz val="10"/>
        <color theme="1"/>
        <rFont val="Calibri"/>
        <family val="2"/>
        <scheme val="minor"/>
      </rPr>
      <t>Four Hundred and Sixty Six Only</t>
    </r>
  </si>
  <si>
    <t>Invoice No. : Sinv-1219-44</t>
  </si>
  <si>
    <r>
      <t xml:space="preserve">In Words : </t>
    </r>
    <r>
      <rPr>
        <sz val="10"/>
        <color theme="1"/>
        <rFont val="Calibri"/>
        <family val="2"/>
        <scheme val="minor"/>
      </rPr>
      <t>Eight Hundred and Twenty Seven Only</t>
    </r>
  </si>
  <si>
    <t>PR-CF283A</t>
  </si>
  <si>
    <t>Invoice No. : Sinv-1219-45</t>
  </si>
  <si>
    <t>Invoice No. : Sinv-1219-46</t>
  </si>
  <si>
    <t>Invoice Date : 27th December 2019</t>
  </si>
  <si>
    <t>Paper Tray Metal 2 Step</t>
  </si>
  <si>
    <t>Pencil Dollar</t>
  </si>
  <si>
    <t>Rubber Band 35gram</t>
  </si>
  <si>
    <t>Plastic Folder Large Size</t>
  </si>
  <si>
    <r>
      <t xml:space="preserve">In Words : </t>
    </r>
    <r>
      <rPr>
        <sz val="10"/>
        <color theme="1"/>
        <rFont val="Calibri"/>
        <family val="2"/>
        <scheme val="minor"/>
      </rPr>
      <t>Two Hundred Fifty Five Thousand Six Hundred and Sixty Eight Only.</t>
    </r>
  </si>
  <si>
    <t>Invoice Date : 30th December 2019</t>
  </si>
  <si>
    <t>Invoice No. : Sinv-1219-48</t>
  </si>
  <si>
    <t>PO JK2-12</t>
  </si>
  <si>
    <t>RICHO MP-2501</t>
  </si>
  <si>
    <t>PR-CC364A Printec</t>
  </si>
  <si>
    <t>PR-CF226A Printec</t>
  </si>
  <si>
    <t>PR-Q5942A Printec</t>
  </si>
  <si>
    <t>Toners for HP M277F Pritners
CF400A, 401A, 402A, 403A</t>
  </si>
  <si>
    <r>
      <t xml:space="preserve">In Words : </t>
    </r>
    <r>
      <rPr>
        <sz val="10"/>
        <color theme="1"/>
        <rFont val="Calibri"/>
        <family val="2"/>
        <scheme val="minor"/>
      </rPr>
      <t>Eighty Two Thousand Four Hundred and Eighty Five Only.</t>
    </r>
  </si>
  <si>
    <t>Invoice No. : Sinv-1219-47</t>
  </si>
  <si>
    <t>Invoice Date : 12th December 2019</t>
  </si>
  <si>
    <t>White Board</t>
  </si>
  <si>
    <t>Notic Board</t>
  </si>
  <si>
    <r>
      <t xml:space="preserve">In Words : </t>
    </r>
    <r>
      <rPr>
        <sz val="10"/>
        <color theme="1"/>
        <rFont val="Calibri"/>
        <family val="2"/>
        <scheme val="minor"/>
      </rPr>
      <t>Eight Thousand Eight Hundred and Fifty Seven Only.</t>
    </r>
  </si>
  <si>
    <r>
      <t xml:space="preserve">In Words : </t>
    </r>
    <r>
      <rPr>
        <sz val="10"/>
        <color theme="1"/>
        <rFont val="Calibri"/>
        <family val="2"/>
        <scheme val="minor"/>
      </rPr>
      <t>Ten Thousand Three Hundred and Five Only.</t>
    </r>
  </si>
  <si>
    <t>Invoice No. : Sinv-1219-49</t>
  </si>
  <si>
    <t>Invoice Date : 31st December 2019</t>
  </si>
  <si>
    <t>PO No. 4500035472</t>
  </si>
  <si>
    <t>Hand Tape Dispenser</t>
  </si>
  <si>
    <r>
      <t xml:space="preserve">In Words : </t>
    </r>
    <r>
      <rPr>
        <sz val="10"/>
        <color rgb="FFFF0000"/>
        <rFont val="Calibri"/>
        <family val="2"/>
        <scheme val="minor"/>
      </rPr>
      <t>Seven Thousand Five Hundred and Eighty Two Only.</t>
    </r>
  </si>
  <si>
    <t>NTN  0676741-9</t>
  </si>
  <si>
    <t>Office 05, Ground Floor, Sunny Plza,</t>
  </si>
  <si>
    <t xml:space="preserve">Ph: +92-21-32630099, 0321-2090558  </t>
  </si>
  <si>
    <t>Invoice Date : 23rd November 2021</t>
  </si>
  <si>
    <t>Invoice No. : TCSAS-1121-46</t>
  </si>
  <si>
    <t>Wafaqi Mohtasib (Ombudsman)s Secretariat</t>
  </si>
  <si>
    <t>Regional Office, 4-B Pakistan Secretariat, Saddar Karachi</t>
  </si>
  <si>
    <t>Stationery Items</t>
  </si>
  <si>
    <r>
      <t xml:space="preserve">In Words : </t>
    </r>
    <r>
      <rPr>
        <sz val="10"/>
        <color theme="1"/>
        <rFont val="Calibri"/>
        <family val="2"/>
        <scheme val="minor"/>
      </rPr>
      <t>Twenty Thousand One Hundred and Thirty Six Only</t>
    </r>
  </si>
  <si>
    <t xml:space="preserve">Reon Energy Limited </t>
  </si>
  <si>
    <t>Invoice Date : 22nd Jul 2022</t>
  </si>
  <si>
    <t>Invoice No. : TCSAS-0722-25</t>
  </si>
  <si>
    <t>Dawood Centre MT Khan Road Karachi</t>
  </si>
  <si>
    <t xml:space="preserve">NTN 4330662-4 | GST :1700433066214 </t>
  </si>
  <si>
    <t>PO No. 105134</t>
  </si>
  <si>
    <t>Invoice No. : TCSAS-0722-26</t>
  </si>
  <si>
    <r>
      <t xml:space="preserve">In Words : </t>
    </r>
    <r>
      <rPr>
        <sz val="10"/>
        <color theme="1"/>
        <rFont val="Calibri"/>
        <family val="2"/>
        <scheme val="minor"/>
      </rPr>
      <t>Fourty Four Thousand Four Hundred and Twenty Five Only</t>
    </r>
  </si>
  <si>
    <r>
      <t xml:space="preserve">In Words : </t>
    </r>
    <r>
      <rPr>
        <sz val="10"/>
        <color theme="1"/>
        <rFont val="Calibri"/>
        <family val="2"/>
        <scheme val="minor"/>
      </rPr>
      <t>Twenty Two Thousand Eight Hundred and Seventy Four Only</t>
    </r>
  </si>
  <si>
    <t>Invoice Date : 15th Aug 2022</t>
  </si>
  <si>
    <t>Invoice No. : TCSAS-0822-M001</t>
  </si>
  <si>
    <t>Changan Autos</t>
  </si>
  <si>
    <t>Port Qasim, Karachi</t>
  </si>
  <si>
    <t>NTN 7549793-8</t>
  </si>
  <si>
    <r>
      <t xml:space="preserve">In Words : </t>
    </r>
    <r>
      <rPr>
        <sz val="10"/>
        <color theme="1"/>
        <rFont val="Calibri"/>
        <family val="2"/>
        <scheme val="minor"/>
      </rPr>
      <t>Thirteen Thousand Seven Hundred and Fourty Eight Only.</t>
    </r>
  </si>
  <si>
    <t>Invoice Date : 18th Oct 2021</t>
  </si>
  <si>
    <t>Invoice No. : TCSAS-1021-35</t>
  </si>
  <si>
    <t>PO No. .PO22100574</t>
  </si>
  <si>
    <t>Graves Pakistan Pvt. Ltd.</t>
  </si>
  <si>
    <t>Modern Motors House, Beaumont Road, Karachi</t>
  </si>
  <si>
    <t>NTN 0698508-4 GST 12-00-8414-002-55</t>
  </si>
  <si>
    <t>IT Accessories Items
4GB Ram DDR 3
T410 - Laptop Battery</t>
  </si>
  <si>
    <t>PSM/LP-44/PR-MERG/26158</t>
  </si>
  <si>
    <t>Peoples Steel Mills Limited</t>
  </si>
  <si>
    <t>Mangopir Road, Karachi</t>
  </si>
  <si>
    <r>
      <t xml:space="preserve">In Words : </t>
    </r>
    <r>
      <rPr>
        <sz val="10"/>
        <color theme="1"/>
        <rFont val="Calibri"/>
        <family val="2"/>
        <scheme val="minor"/>
      </rPr>
      <t>Thirty Three Thousand Four Hundred and Twenty Seven Only</t>
    </r>
  </si>
  <si>
    <t xml:space="preserve">Invoice No. : TCSAS-0722-8 </t>
  </si>
  <si>
    <t>NTN 0711630-6</t>
  </si>
  <si>
    <t>Invoice Date : 6th July 2022</t>
  </si>
  <si>
    <t>Green Sheet Legal F4</t>
  </si>
  <si>
    <t>UHU Glue Stick 21gram</t>
  </si>
  <si>
    <t>Gum Stick Large Deli</t>
  </si>
  <si>
    <t>Dollar - My Pencil wow 2 HB</t>
  </si>
  <si>
    <t>Price</t>
  </si>
  <si>
    <t>Invoice No. : TCSAS-1222-49E</t>
  </si>
  <si>
    <t>Invoice Date : 31st Dec 2022</t>
  </si>
  <si>
    <t>YKK Pakistan Pvt. Ltd.</t>
  </si>
  <si>
    <t>Plot 1-23, Sector E-1, E-2, KEPZ, Mehran Highway, Landhi Karachi</t>
  </si>
  <si>
    <t>NTN 2635106-5</t>
  </si>
  <si>
    <t xml:space="preserve">Stationary Items 
as per Quotation </t>
  </si>
  <si>
    <r>
      <t xml:space="preserve">In Words : </t>
    </r>
    <r>
      <rPr>
        <sz val="10"/>
        <color theme="1"/>
        <rFont val="Calibri"/>
        <family val="2"/>
        <scheme val="minor"/>
      </rPr>
      <t>Seventy Eight Thousand and Fifty Eight only</t>
    </r>
  </si>
  <si>
    <t>PO 2022/000777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</si>
</sst>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(* #,##0.00_);_(* \(#,##0.00\);_(* &quot;-&quot;_);_(@_)"/>
    <numFmt numFmtId="168" formatCode="_-* #,##0.000_-;\-* #,##0.000_-;_-* &quot;-&quot;???_-;_-@_-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0070C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u/>
      <sz val="8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theme="3"/>
      </left>
      <right/>
      <top style="double">
        <color theme="3"/>
      </top>
      <bottom style="double">
        <color theme="3"/>
      </bottom>
      <diagonal/>
    </border>
    <border>
      <left/>
      <right/>
      <top style="double">
        <color theme="3"/>
      </top>
      <bottom style="double">
        <color theme="3"/>
      </bottom>
      <diagonal/>
    </border>
    <border>
      <left/>
      <right style="double">
        <color theme="3"/>
      </right>
      <top style="double">
        <color theme="3"/>
      </top>
      <bottom style="double">
        <color theme="3"/>
      </bottom>
      <diagonal/>
    </border>
    <border>
      <left style="thin">
        <color indexed="64"/>
      </left>
      <right/>
      <top/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theme="3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3"/>
      </bottom>
      <diagonal/>
    </border>
    <border>
      <left style="thin">
        <color theme="3"/>
      </left>
      <right/>
      <top style="double">
        <color theme="3"/>
      </top>
      <bottom style="thin">
        <color theme="3"/>
      </bottom>
      <diagonal/>
    </border>
    <border>
      <left/>
      <right/>
      <top style="double">
        <color theme="3"/>
      </top>
      <bottom style="thin">
        <color theme="3"/>
      </bottom>
      <diagonal/>
    </border>
    <border>
      <left/>
      <right style="thin">
        <color theme="3"/>
      </right>
      <top style="double">
        <color theme="3"/>
      </top>
      <bottom style="thin">
        <color theme="3"/>
      </bottom>
      <diagonal/>
    </border>
    <border>
      <left/>
      <right/>
      <top style="double">
        <color theme="3"/>
      </top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14" fillId="0" borderId="0"/>
  </cellStyleXfs>
  <cellXfs count="206">
    <xf numFmtId="0" fontId="0" fillId="0" borderId="0" xfId="0"/>
    <xf numFmtId="0" fontId="2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center" indent="3"/>
    </xf>
    <xf numFmtId="0" fontId="4" fillId="0" borderId="0" xfId="0" applyFont="1" applyAlignment="1">
      <alignment horizontal="center"/>
    </xf>
    <xf numFmtId="0" fontId="6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7" fillId="0" borderId="0" xfId="1" applyFont="1" applyAlignment="1">
      <alignment horizontal="left" vertical="center" indent="3"/>
    </xf>
    <xf numFmtId="0" fontId="10" fillId="0" borderId="0" xfId="0" applyFont="1"/>
    <xf numFmtId="0" fontId="10" fillId="0" borderId="0" xfId="0" applyFont="1" applyAlignment="1">
      <alignment horizontal="right"/>
    </xf>
    <xf numFmtId="0" fontId="11" fillId="0" borderId="0" xfId="0" applyFont="1"/>
    <xf numFmtId="0" fontId="0" fillId="0" borderId="1" xfId="0" applyBorder="1"/>
    <xf numFmtId="0" fontId="0" fillId="0" borderId="2" xfId="0" applyBorder="1"/>
    <xf numFmtId="0" fontId="12" fillId="0" borderId="0" xfId="0" applyFont="1" applyAlignment="1">
      <alignment horizontal="center"/>
    </xf>
    <xf numFmtId="0" fontId="12" fillId="0" borderId="0" xfId="0" applyFont="1"/>
    <xf numFmtId="0" fontId="0" fillId="0" borderId="2" xfId="0" quotePrefix="1" applyBorder="1"/>
    <xf numFmtId="165" fontId="12" fillId="0" borderId="2" xfId="0" applyNumberFormat="1" applyFont="1" applyBorder="1"/>
    <xf numFmtId="165" fontId="12" fillId="0" borderId="0" xfId="0" applyNumberFormat="1" applyFont="1"/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vertical="center" wrapText="1"/>
    </xf>
    <xf numFmtId="165" fontId="12" fillId="2" borderId="8" xfId="0" applyNumberFormat="1" applyFont="1" applyFill="1" applyBorder="1" applyAlignment="1">
      <alignment horizontal="center" vertical="center"/>
    </xf>
    <xf numFmtId="164" fontId="12" fillId="2" borderId="9" xfId="0" applyNumberFormat="1" applyFont="1" applyFill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6" fontId="12" fillId="0" borderId="9" xfId="0" applyNumberFormat="1" applyFont="1" applyBorder="1" applyAlignment="1">
      <alignment horizontal="center" vertical="center"/>
    </xf>
    <xf numFmtId="0" fontId="12" fillId="0" borderId="10" xfId="0" quotePrefix="1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12" xfId="0" applyFont="1" applyBorder="1" applyAlignment="1">
      <alignment vertical="center"/>
    </xf>
    <xf numFmtId="165" fontId="12" fillId="2" borderId="9" xfId="0" applyNumberFormat="1" applyFont="1" applyFill="1" applyBorder="1" applyAlignment="1">
      <alignment horizontal="center" vertical="center"/>
    </xf>
    <xf numFmtId="166" fontId="12" fillId="0" borderId="13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165" fontId="12" fillId="0" borderId="0" xfId="0" applyNumberFormat="1" applyFont="1" applyAlignment="1">
      <alignment horizontal="center" vertical="center"/>
    </xf>
    <xf numFmtId="164" fontId="12" fillId="0" borderId="14" xfId="0" applyNumberFormat="1" applyFont="1" applyBorder="1" applyAlignment="1">
      <alignment horizontal="center" vertical="center"/>
    </xf>
    <xf numFmtId="0" fontId="12" fillId="0" borderId="0" xfId="0" quotePrefix="1" applyFont="1" applyAlignment="1">
      <alignment horizontal="center" vertical="center"/>
    </xf>
    <xf numFmtId="0" fontId="1" fillId="0" borderId="0" xfId="0" applyFont="1"/>
    <xf numFmtId="164" fontId="12" fillId="0" borderId="9" xfId="0" applyNumberFormat="1" applyFont="1" applyBorder="1" applyAlignment="1">
      <alignment horizontal="center" vertical="center"/>
    </xf>
    <xf numFmtId="165" fontId="10" fillId="0" borderId="9" xfId="0" applyNumberFormat="1" applyFont="1" applyBorder="1" applyAlignment="1">
      <alignment horizontal="center" vertical="center"/>
    </xf>
    <xf numFmtId="166" fontId="12" fillId="3" borderId="9" xfId="0" applyNumberFormat="1" applyFont="1" applyFill="1" applyBorder="1" applyAlignment="1">
      <alignment horizontal="center" vertical="center"/>
    </xf>
    <xf numFmtId="166" fontId="12" fillId="3" borderId="13" xfId="0" applyNumberFormat="1" applyFont="1" applyFill="1" applyBorder="1" applyAlignment="1">
      <alignment horizontal="center" vertical="center"/>
    </xf>
    <xf numFmtId="166" fontId="12" fillId="2" borderId="8" xfId="0" applyNumberFormat="1" applyFont="1" applyFill="1" applyBorder="1" applyAlignment="1">
      <alignment horizontal="center" vertical="center"/>
    </xf>
    <xf numFmtId="0" fontId="0" fillId="0" borderId="7" xfId="0" applyBorder="1"/>
    <xf numFmtId="0" fontId="13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vertical="center"/>
    </xf>
    <xf numFmtId="0" fontId="0" fillId="0" borderId="7" xfId="0" applyBorder="1" applyAlignment="1">
      <alignment wrapText="1"/>
    </xf>
    <xf numFmtId="0" fontId="0" fillId="0" borderId="7" xfId="0" applyBorder="1" applyAlignment="1">
      <alignment vertical="center" wrapText="1"/>
    </xf>
    <xf numFmtId="164" fontId="12" fillId="2" borderId="8" xfId="0" applyNumberFormat="1" applyFont="1" applyFill="1" applyBorder="1" applyAlignment="1">
      <alignment horizontal="center" vertical="center"/>
    </xf>
    <xf numFmtId="165" fontId="13" fillId="0" borderId="9" xfId="0" applyNumberFormat="1" applyFont="1" applyBorder="1" applyAlignment="1">
      <alignment horizontal="center" vertical="center"/>
    </xf>
    <xf numFmtId="0" fontId="13" fillId="0" borderId="22" xfId="0" applyFont="1" applyBorder="1" applyAlignment="1">
      <alignment vertical="center"/>
    </xf>
    <xf numFmtId="0" fontId="13" fillId="0" borderId="7" xfId="0" applyFont="1" applyBorder="1"/>
    <xf numFmtId="0" fontId="12" fillId="0" borderId="7" xfId="0" applyFont="1" applyBorder="1" applyAlignment="1">
      <alignment horizontal="center" vertical="center"/>
    </xf>
    <xf numFmtId="165" fontId="12" fillId="2" borderId="7" xfId="0" applyNumberFormat="1" applyFont="1" applyFill="1" applyBorder="1" applyAlignment="1">
      <alignment horizontal="center" vertical="center"/>
    </xf>
    <xf numFmtId="164" fontId="12" fillId="2" borderId="7" xfId="0" applyNumberFormat="1" applyFont="1" applyFill="1" applyBorder="1" applyAlignment="1">
      <alignment horizontal="center" vertical="center"/>
    </xf>
    <xf numFmtId="166" fontId="12" fillId="0" borderId="7" xfId="0" applyNumberFormat="1" applyFont="1" applyBorder="1" applyAlignment="1">
      <alignment horizontal="center" vertical="center"/>
    </xf>
    <xf numFmtId="164" fontId="12" fillId="0" borderId="7" xfId="0" applyNumberFormat="1" applyFont="1" applyBorder="1" applyAlignment="1">
      <alignment horizontal="center" vertical="center"/>
    </xf>
    <xf numFmtId="0" fontId="12" fillId="0" borderId="7" xfId="0" quotePrefix="1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/>
    </xf>
    <xf numFmtId="164" fontId="12" fillId="0" borderId="25" xfId="0" applyNumberFormat="1" applyFont="1" applyBorder="1" applyAlignment="1">
      <alignment horizontal="center" vertical="center"/>
    </xf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5" fontId="0" fillId="0" borderId="0" xfId="0" applyNumberFormat="1" applyAlignment="1">
      <alignment vertical="center"/>
    </xf>
    <xf numFmtId="165" fontId="2" fillId="0" borderId="0" xfId="0" applyNumberFormat="1" applyFont="1" applyAlignment="1">
      <alignment horizontal="left" vertical="center" indent="3"/>
    </xf>
    <xf numFmtId="165" fontId="3" fillId="0" borderId="0" xfId="0" applyNumberFormat="1" applyFont="1" applyAlignment="1">
      <alignment horizontal="left" vertical="center" indent="3"/>
    </xf>
    <xf numFmtId="165" fontId="7" fillId="0" borderId="0" xfId="1" applyNumberFormat="1" applyFont="1" applyAlignment="1">
      <alignment horizontal="left" vertical="center" indent="3"/>
    </xf>
    <xf numFmtId="165" fontId="10" fillId="0" borderId="0" xfId="0" applyNumberFormat="1" applyFont="1" applyAlignment="1">
      <alignment horizontal="right"/>
    </xf>
    <xf numFmtId="165" fontId="13" fillId="0" borderId="4" xfId="0" applyNumberFormat="1" applyFont="1" applyBorder="1" applyAlignment="1">
      <alignment horizontal="center" vertical="center" wrapText="1"/>
    </xf>
    <xf numFmtId="164" fontId="10" fillId="2" borderId="7" xfId="0" applyNumberFormat="1" applyFont="1" applyFill="1" applyBorder="1" applyAlignment="1">
      <alignment horizontal="center" vertical="center"/>
    </xf>
    <xf numFmtId="164" fontId="10" fillId="0" borderId="25" xfId="0" applyNumberFormat="1" applyFont="1" applyBorder="1" applyAlignment="1">
      <alignment horizontal="center" vertical="center"/>
    </xf>
    <xf numFmtId="167" fontId="12" fillId="0" borderId="7" xfId="0" applyNumberFormat="1" applyFont="1" applyBorder="1" applyAlignment="1">
      <alignment horizontal="center" vertical="center"/>
    </xf>
    <xf numFmtId="0" fontId="0" fillId="0" borderId="26" xfId="0" quotePrefix="1" applyBorder="1"/>
    <xf numFmtId="0" fontId="13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12" fillId="0" borderId="7" xfId="0" applyFont="1" applyBorder="1" applyAlignment="1">
      <alignment horizontal="left" vertical="center" wrapText="1"/>
    </xf>
    <xf numFmtId="1" fontId="15" fillId="4" borderId="7" xfId="0" applyNumberFormat="1" applyFont="1" applyFill="1" applyBorder="1" applyAlignment="1">
      <alignment horizontal="center" vertical="center"/>
    </xf>
    <xf numFmtId="0" fontId="12" fillId="0" borderId="27" xfId="0" quotePrefix="1" applyFont="1" applyBorder="1" applyAlignment="1">
      <alignment horizontal="center" vertical="center"/>
    </xf>
    <xf numFmtId="0" fontId="12" fillId="0" borderId="7" xfId="0" applyFont="1" applyBorder="1" applyAlignment="1">
      <alignment horizontal="left" vertical="center"/>
    </xf>
    <xf numFmtId="165" fontId="12" fillId="0" borderId="7" xfId="0" applyNumberFormat="1" applyFont="1" applyBorder="1" applyAlignment="1">
      <alignment horizontal="center" vertical="center"/>
    </xf>
    <xf numFmtId="0" fontId="16" fillId="0" borderId="7" xfId="0" quotePrefix="1" applyFont="1" applyBorder="1" applyAlignment="1">
      <alignment horizontal="center" vertical="center"/>
    </xf>
    <xf numFmtId="41" fontId="10" fillId="0" borderId="7" xfId="0" applyNumberFormat="1" applyFont="1" applyBorder="1" applyAlignment="1">
      <alignment horizontal="center" vertical="center"/>
    </xf>
    <xf numFmtId="43" fontId="12" fillId="0" borderId="7" xfId="0" applyNumberFormat="1" applyFont="1" applyBorder="1" applyAlignment="1">
      <alignment horizontal="center" vertical="center"/>
    </xf>
    <xf numFmtId="0" fontId="17" fillId="0" borderId="0" xfId="0" applyFont="1"/>
    <xf numFmtId="0" fontId="17" fillId="0" borderId="1" xfId="0" applyFont="1" applyBorder="1"/>
    <xf numFmtId="0" fontId="17" fillId="0" borderId="2" xfId="0" applyFont="1" applyBorder="1"/>
    <xf numFmtId="0" fontId="18" fillId="0" borderId="0" xfId="0" applyFont="1" applyAlignment="1">
      <alignment horizontal="center"/>
    </xf>
    <xf numFmtId="0" fontId="18" fillId="0" borderId="0" xfId="0" applyFont="1"/>
    <xf numFmtId="0" fontId="17" fillId="0" borderId="2" xfId="0" quotePrefix="1" applyFont="1" applyBorder="1"/>
    <xf numFmtId="165" fontId="18" fillId="0" borderId="2" xfId="0" applyNumberFormat="1" applyFont="1" applyBorder="1"/>
    <xf numFmtId="165" fontId="18" fillId="0" borderId="0" xfId="0" applyNumberFormat="1" applyFont="1"/>
    <xf numFmtId="0" fontId="17" fillId="0" borderId="26" xfId="0" quotePrefix="1" applyFont="1" applyBorder="1"/>
    <xf numFmtId="0" fontId="19" fillId="0" borderId="7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horizontal="left" vertical="center" wrapText="1"/>
    </xf>
    <xf numFmtId="166" fontId="18" fillId="0" borderId="7" xfId="0" applyNumberFormat="1" applyFont="1" applyBorder="1" applyAlignment="1">
      <alignment horizontal="center" vertical="center"/>
    </xf>
    <xf numFmtId="167" fontId="18" fillId="0" borderId="7" xfId="0" applyNumberFormat="1" applyFont="1" applyBorder="1" applyAlignment="1">
      <alignment horizontal="center" vertical="center"/>
    </xf>
    <xf numFmtId="0" fontId="20" fillId="0" borderId="7" xfId="0" quotePrefix="1" applyFont="1" applyBorder="1" applyAlignment="1">
      <alignment horizontal="center" vertical="center"/>
    </xf>
    <xf numFmtId="0" fontId="21" fillId="0" borderId="0" xfId="0" applyFont="1" applyAlignment="1">
      <alignment horizontal="left" vertical="center" indent="3"/>
    </xf>
    <xf numFmtId="0" fontId="22" fillId="0" borderId="0" xfId="0" applyFont="1" applyAlignment="1">
      <alignment horizontal="left" vertical="center" indent="3"/>
    </xf>
    <xf numFmtId="0" fontId="23" fillId="0" borderId="0" xfId="0" applyFont="1" applyAlignment="1">
      <alignment horizontal="center"/>
    </xf>
    <xf numFmtId="0" fontId="24" fillId="0" borderId="0" xfId="1" applyFont="1" applyAlignment="1">
      <alignment vertical="center"/>
    </xf>
    <xf numFmtId="0" fontId="25" fillId="0" borderId="0" xfId="1" applyFont="1" applyAlignment="1">
      <alignment vertical="center"/>
    </xf>
    <xf numFmtId="0" fontId="25" fillId="0" borderId="0" xfId="1" applyFont="1" applyAlignment="1">
      <alignment horizontal="left" vertical="center" indent="3"/>
    </xf>
    <xf numFmtId="0" fontId="26" fillId="0" borderId="0" xfId="0" applyFont="1"/>
    <xf numFmtId="0" fontId="26" fillId="0" borderId="0" xfId="0" applyFont="1" applyAlignment="1">
      <alignment horizontal="right"/>
    </xf>
    <xf numFmtId="0" fontId="27" fillId="0" borderId="0" xfId="0" applyFont="1"/>
    <xf numFmtId="0" fontId="17" fillId="0" borderId="0" xfId="0" applyFont="1" applyAlignment="1">
      <alignment vertical="center"/>
    </xf>
    <xf numFmtId="1" fontId="18" fillId="4" borderId="7" xfId="0" applyNumberFormat="1" applyFont="1" applyFill="1" applyBorder="1" applyAlignment="1">
      <alignment horizontal="center" vertical="center"/>
    </xf>
    <xf numFmtId="165" fontId="17" fillId="0" borderId="0" xfId="0" applyNumberFormat="1" applyFont="1" applyAlignment="1">
      <alignment vertical="center"/>
    </xf>
    <xf numFmtId="0" fontId="17" fillId="0" borderId="7" xfId="0" applyFont="1" applyBorder="1" applyAlignment="1">
      <alignment wrapText="1"/>
    </xf>
    <xf numFmtId="164" fontId="18" fillId="0" borderId="7" xfId="0" applyNumberFormat="1" applyFont="1" applyBorder="1" applyAlignment="1">
      <alignment horizontal="center" vertical="center"/>
    </xf>
    <xf numFmtId="0" fontId="18" fillId="0" borderId="7" xfId="0" quotePrefix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165" fontId="18" fillId="0" borderId="0" xfId="0" applyNumberFormat="1" applyFont="1" applyAlignment="1">
      <alignment horizontal="center" vertical="center"/>
    </xf>
    <xf numFmtId="164" fontId="18" fillId="0" borderId="25" xfId="0" applyNumberFormat="1" applyFont="1" applyBorder="1" applyAlignment="1">
      <alignment horizontal="center" vertical="center"/>
    </xf>
    <xf numFmtId="0" fontId="18" fillId="0" borderId="0" xfId="0" quotePrefix="1" applyFont="1" applyAlignment="1">
      <alignment horizontal="center" vertical="center"/>
    </xf>
    <xf numFmtId="0" fontId="28" fillId="0" borderId="0" xfId="0" applyFont="1"/>
    <xf numFmtId="165" fontId="17" fillId="0" borderId="0" xfId="0" applyNumberFormat="1" applyFont="1"/>
    <xf numFmtId="166" fontId="17" fillId="0" borderId="0" xfId="0" applyNumberFormat="1" applyFont="1"/>
    <xf numFmtId="3" fontId="12" fillId="0" borderId="7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left" vertical="center" wrapText="1"/>
    </xf>
    <xf numFmtId="0" fontId="10" fillId="0" borderId="7" xfId="0" applyFont="1" applyBorder="1" applyAlignment="1">
      <alignment wrapText="1"/>
    </xf>
    <xf numFmtId="0" fontId="29" fillId="0" borderId="7" xfId="0" applyFont="1" applyBorder="1" applyAlignment="1">
      <alignment horizontal="center" vertical="center"/>
    </xf>
    <xf numFmtId="41" fontId="12" fillId="0" borderId="7" xfId="0" applyNumberFormat="1" applyFont="1" applyBorder="1" applyAlignment="1">
      <alignment horizontal="center" vertical="center"/>
    </xf>
    <xf numFmtId="43" fontId="10" fillId="0" borderId="7" xfId="0" applyNumberFormat="1" applyFont="1" applyBorder="1" applyAlignment="1">
      <alignment horizontal="center" vertical="center"/>
    </xf>
    <xf numFmtId="0" fontId="0" fillId="0" borderId="7" xfId="0" quotePrefix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12" fillId="0" borderId="7" xfId="0" applyFont="1" applyBorder="1" applyAlignment="1">
      <alignment wrapText="1"/>
    </xf>
    <xf numFmtId="0" fontId="30" fillId="0" borderId="7" xfId="0" quotePrefix="1" applyFont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9" fontId="0" fillId="5" borderId="0" xfId="0" applyNumberFormat="1" applyFill="1" applyAlignment="1">
      <alignment horizontal="center" vertical="center"/>
    </xf>
    <xf numFmtId="3" fontId="0" fillId="5" borderId="0" xfId="0" applyNumberFormat="1" applyFill="1" applyAlignment="1">
      <alignment vertical="center"/>
    </xf>
    <xf numFmtId="43" fontId="0" fillId="5" borderId="0" xfId="0" applyNumberFormat="1" applyFill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165" fontId="29" fillId="0" borderId="27" xfId="0" applyNumberFormat="1" applyFont="1" applyBorder="1" applyAlignment="1">
      <alignment vertical="center"/>
    </xf>
    <xf numFmtId="1" fontId="31" fillId="6" borderId="7" xfId="0" applyNumberFormat="1" applyFont="1" applyFill="1" applyBorder="1" applyAlignment="1">
      <alignment horizontal="center" vertical="center"/>
    </xf>
    <xf numFmtId="166" fontId="12" fillId="6" borderId="7" xfId="0" applyNumberFormat="1" applyFont="1" applyFill="1" applyBorder="1" applyAlignment="1">
      <alignment horizontal="center" vertical="center"/>
    </xf>
    <xf numFmtId="168" fontId="12" fillId="0" borderId="7" xfId="0" applyNumberFormat="1" applyFont="1" applyBorder="1" applyAlignment="1">
      <alignment horizontal="center" vertical="center"/>
    </xf>
    <xf numFmtId="165" fontId="15" fillId="0" borderId="27" xfId="0" applyNumberFormat="1" applyFont="1" applyBorder="1" applyAlignment="1">
      <alignment vertical="center"/>
    </xf>
    <xf numFmtId="43" fontId="12" fillId="0" borderId="25" xfId="0" applyNumberFormat="1" applyFont="1" applyBorder="1" applyAlignment="1">
      <alignment horizontal="center" vertical="center"/>
    </xf>
    <xf numFmtId="43" fontId="10" fillId="0" borderId="25" xfId="0" applyNumberFormat="1" applyFont="1" applyBorder="1" applyAlignment="1">
      <alignment horizontal="center" vertical="center"/>
    </xf>
    <xf numFmtId="41" fontId="29" fillId="0" borderId="27" xfId="0" applyNumberFormat="1" applyFont="1" applyBorder="1" applyAlignment="1">
      <alignment vertical="center"/>
    </xf>
    <xf numFmtId="41" fontId="29" fillId="0" borderId="7" xfId="0" applyNumberFormat="1" applyFont="1" applyBorder="1" applyAlignment="1">
      <alignment vertical="center"/>
    </xf>
    <xf numFmtId="1" fontId="32" fillId="4" borderId="7" xfId="0" applyNumberFormat="1" applyFont="1" applyFill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164" fontId="3" fillId="0" borderId="25" xfId="0" applyNumberFormat="1" applyFont="1" applyBorder="1" applyAlignment="1">
      <alignment horizontal="center" vertical="center"/>
    </xf>
    <xf numFmtId="0" fontId="12" fillId="3" borderId="7" xfId="0" applyFont="1" applyFill="1" applyBorder="1" applyAlignment="1">
      <alignment horizontal="left" vertical="center" wrapText="1"/>
    </xf>
    <xf numFmtId="0" fontId="12" fillId="3" borderId="7" xfId="0" applyFont="1" applyFill="1" applyBorder="1" applyAlignment="1">
      <alignment horizontal="center" vertical="center"/>
    </xf>
    <xf numFmtId="1" fontId="32" fillId="3" borderId="7" xfId="0" applyNumberFormat="1" applyFont="1" applyFill="1" applyBorder="1" applyAlignment="1">
      <alignment horizontal="center" vertical="center"/>
    </xf>
    <xf numFmtId="43" fontId="12" fillId="3" borderId="7" xfId="0" applyNumberFormat="1" applyFont="1" applyFill="1" applyBorder="1" applyAlignment="1">
      <alignment horizontal="center" vertical="center"/>
    </xf>
    <xf numFmtId="166" fontId="12" fillId="3" borderId="7" xfId="0" applyNumberFormat="1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left" vertical="center" wrapText="1"/>
    </xf>
    <xf numFmtId="1" fontId="18" fillId="3" borderId="7" xfId="0" applyNumberFormat="1" applyFont="1" applyFill="1" applyBorder="1" applyAlignment="1">
      <alignment horizontal="center" vertical="center"/>
    </xf>
    <xf numFmtId="165" fontId="18" fillId="3" borderId="7" xfId="0" applyNumberFormat="1" applyFont="1" applyFill="1" applyBorder="1" applyAlignment="1">
      <alignment horizontal="center" vertical="center"/>
    </xf>
    <xf numFmtId="166" fontId="18" fillId="3" borderId="7" xfId="0" applyNumberFormat="1" applyFont="1" applyFill="1" applyBorder="1" applyAlignment="1">
      <alignment horizontal="center" vertical="center"/>
    </xf>
    <xf numFmtId="41" fontId="18" fillId="3" borderId="7" xfId="0" applyNumberFormat="1" applyFont="1" applyFill="1" applyBorder="1" applyAlignment="1">
      <alignment horizontal="center" vertical="center"/>
    </xf>
    <xf numFmtId="0" fontId="17" fillId="3" borderId="7" xfId="0" quotePrefix="1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wrapText="1"/>
    </xf>
    <xf numFmtId="164" fontId="18" fillId="3" borderId="7" xfId="0" applyNumberFormat="1" applyFont="1" applyFill="1" applyBorder="1" applyAlignment="1">
      <alignment horizontal="center" vertical="center"/>
    </xf>
    <xf numFmtId="0" fontId="18" fillId="3" borderId="7" xfId="0" quotePrefix="1" applyFont="1" applyFill="1" applyBorder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horizontal="left" vertical="center"/>
    </xf>
    <xf numFmtId="165" fontId="18" fillId="3" borderId="0" xfId="0" applyNumberFormat="1" applyFont="1" applyFill="1" applyAlignment="1">
      <alignment horizontal="center" vertical="center"/>
    </xf>
    <xf numFmtId="164" fontId="18" fillId="3" borderId="25" xfId="0" applyNumberFormat="1" applyFont="1" applyFill="1" applyBorder="1" applyAlignment="1">
      <alignment horizontal="center" vertical="center"/>
    </xf>
    <xf numFmtId="0" fontId="18" fillId="3" borderId="0" xfId="0" quotePrefix="1" applyFont="1" applyFill="1" applyAlignment="1">
      <alignment horizontal="center" vertical="center"/>
    </xf>
    <xf numFmtId="0" fontId="28" fillId="3" borderId="0" xfId="0" applyFont="1" applyFill="1"/>
    <xf numFmtId="0" fontId="17" fillId="3" borderId="0" xfId="0" applyFont="1" applyFill="1"/>
    <xf numFmtId="166" fontId="12" fillId="0" borderId="28" xfId="0" applyNumberFormat="1" applyFont="1" applyBorder="1" applyAlignment="1">
      <alignment horizontal="center" vertical="center"/>
    </xf>
    <xf numFmtId="166" fontId="12" fillId="0" borderId="29" xfId="0" applyNumberFormat="1" applyFont="1" applyBorder="1" applyAlignment="1">
      <alignment horizontal="center" vertical="center"/>
    </xf>
    <xf numFmtId="0" fontId="12" fillId="0" borderId="7" xfId="0" applyFont="1" applyBorder="1" applyAlignment="1">
      <alignment horizontal="left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3" fillId="0" borderId="7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7" fillId="3" borderId="0" xfId="0" applyFont="1" applyFill="1" applyAlignment="1">
      <alignment horizontal="left" wrapText="1"/>
    </xf>
    <xf numFmtId="0" fontId="10" fillId="0" borderId="1" xfId="0" quotePrefix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" xfId="0" quotePrefix="1" applyFont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17" fillId="0" borderId="0" xfId="0" applyFont="1" applyAlignment="1">
      <alignment horizontal="left" wrapText="1"/>
    </xf>
    <xf numFmtId="166" fontId="12" fillId="0" borderId="18" xfId="0" applyNumberFormat="1" applyFont="1" applyBorder="1" applyAlignment="1">
      <alignment horizontal="center" vertical="center"/>
    </xf>
    <xf numFmtId="166" fontId="12" fillId="0" borderId="19" xfId="0" applyNumberFormat="1" applyFont="1" applyBorder="1" applyAlignment="1">
      <alignment horizontal="center" vertical="center"/>
    </xf>
    <xf numFmtId="166" fontId="12" fillId="0" borderId="20" xfId="0" applyNumberFormat="1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</cellXfs>
  <cellStyles count="3">
    <cellStyle name="Hyperlink" xfId="1" builtinId="8"/>
    <cellStyle name="Normal" xfId="0" builtinId="0"/>
    <cellStyle name="Normal 4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theme" Target="theme/theme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styles" Target="styles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334" Type="http://schemas.openxmlformats.org/officeDocument/2006/relationships/worksheet" Target="worksheets/sheet334.xml"/><Relationship Id="rId350" Type="http://schemas.openxmlformats.org/officeDocument/2006/relationships/worksheet" Target="worksheets/sheet350.xml"/><Relationship Id="rId355" Type="http://schemas.openxmlformats.org/officeDocument/2006/relationships/worksheet" Target="worksheets/sheet35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F7FAE4-FEC4-4037-9679-4C30A9C82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610507-7C5B-431B-BE9C-FCBC3AAA5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BBA25E-3965-461C-A72B-771FFE1FD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120F62-5DEC-47D1-9ACE-E16B3EB27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1E01FA-9A5B-45F7-85B0-5F0EA4B0D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AAA9AD-1D41-4CB8-80A5-F97D9D367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F6A691-5732-4C01-AA96-848B7806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A3F0D4-40C8-47E8-847E-5856AF7DF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E084AD-D408-4795-A925-1EB8C732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329CFE-DF4E-466F-A7CC-1D3050DFC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016EE4-0CFB-48AD-ADDC-9AA511C45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F668FF-3DFD-4F76-BDA7-1EB1B50EF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52599A-26CA-426A-B176-1456954E8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A26E8E-E60F-4C12-A9C1-C670521F3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159DB0-3C50-42B0-AE87-6E7BBBA9B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50DD1E-377D-4196-B0FB-E7185B476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0A0D34-A13A-4B8D-AEAB-31D671C9D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E81D91-A584-40AA-BCF8-8DF370A00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7A5753-6EEF-406B-907B-3C61F9580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6E3C80-FD55-4D9B-922E-EE280C766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AA9308-3FF4-4383-999C-06CE30473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4B7ED9-3D77-4354-955D-2E639B1D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73F906-6B21-434F-B1BC-C0A0B526B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4F26D3-132E-44F7-A948-D40DCD01B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4A21F9-8E1B-4B35-A4CF-4616E8299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7029D7-1D7A-43C5-BF8C-DA053E36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96B2ED-0262-43EB-8F72-137CE6CB7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865199-EFDA-414E-88C5-ABBB01E62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57E27C-C9F8-406E-B579-FF82BBBBC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66E77E-056E-4AFA-AF6E-C14E262DF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160C48-DF8C-4DA3-833C-48000D62A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7E54B7-251A-4AD3-86D1-94C8892AC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37C3F8-688B-492E-A312-5B102B640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431D9A-CFE5-4C98-9E75-921743B13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348FDF-B173-4308-B899-FDC5C8E4D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4E06BD-668D-434D-B1A9-46EB54A1A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1F25A6-BA69-47F4-981F-07CA7CDA6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D4E5E7-80E6-4520-94C3-015218284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321B92-DDF2-4766-B155-D1A9B5499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AA8F44-6975-4F0C-90DA-BA224C980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11ADE8-D487-49C5-8AEC-516E72835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977852-F9A7-49DD-B860-0D7B763F1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19F948-ED6A-4149-BC14-C514CD8E6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E8DECC-74DD-4F92-8264-1D362EB61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DFB640-92BC-4507-827E-ED7E2DB95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2FCE45-2C4C-4980-A5DD-710170670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6EC338-E171-4E5E-A825-2DBD16F2E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00CAAB-819F-4E57-B448-13CF19672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221B23-9DE1-48E1-95C8-EA170BAF6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EC6D5C-E4DB-4B6D-9286-52FD6148A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D61A65-A17A-46FA-B344-C6CD3BFAF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8A2DBF-025A-41F2-BB78-4CA8DD214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7E0A22-007C-4665-B6B2-E117673B7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4134F3-8D7B-4E98-858D-1ED17542C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D3D082-9DAB-4145-8F8E-82F939F89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0E9C90-E627-4C45-A76C-90C99C2DD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E48963-36FF-49BA-8490-9A0B493AD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6215C0-4D6C-44A8-BE33-2F1F97CC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83F91-1D1D-4995-9199-3F600446A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0FE2D7-3BCC-4908-863C-54CD05089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8D3F8-2970-4835-9D06-F6070BC87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11F6B2-16A0-491B-A91A-B17261F70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3B3372-DCA8-499F-AE61-D3AA0BBEB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6DA27E-E617-4860-A597-C30B94F91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DF6D6E-B1EF-445D-BF73-16BBB065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6DDF47-F850-42E1-BBFB-C67755C11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700D0A-2D58-49E9-928A-3FA87F915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12964D-F751-49DA-A44A-8721EA388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2EE84F-4928-49CB-905D-3937A8E87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E490A0-E4C1-4415-B4D0-A1F784DE9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D00404-2D79-4673-8DC5-54DA913F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524666-EDD2-4D16-B7B8-0037D1C9C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385C68-A268-4974-B4A4-100B61014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545BB0-39B9-448D-B7DA-1DC29022B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9D2434-0E43-4661-A339-06D8068DF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49FD8D-AD1C-4C9E-B71A-D9889DCF8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A4F96E-A6B2-4BDD-A4D4-9274C72DF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D69D0-FC0E-4866-84C0-E8EFB0FF6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6D7D57-2DA4-4E2F-9E82-9680CE95B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B7D71D-7AE5-4269-884F-64723B83F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2C2D96-D67E-408C-B09C-B5125E9C3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D2065-E595-418C-BAC1-A76505E14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B94937-EA2E-4D2E-9A51-096B6D9AC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3C09E1-425A-4884-84B6-F7C234884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C7007A-2F4D-4CA6-86A8-6AC4D2D03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1FC9CE-30A1-438B-AE3E-AB6A4D590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281863-3B98-471C-A6E5-5D713D214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71E4FB-09A8-4B85-BB14-E2D7C876B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507784-0BCB-4253-A7DF-6ADC0B47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60A0EC-0AC4-4FCF-9828-F4421A277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229296-70AD-44CA-9AB5-E4FC083EC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B386C-2317-4755-B6FD-530C5A7E7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5ABA79-DC40-45D5-84F2-4D930036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4A0EB3-EA6E-47F8-B08C-BD37490E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32567F-993D-40F5-9099-ED263E2ED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E3F047-3394-4B96-B2B9-9FE343947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872EFF-AC69-40BE-AE0E-0333805DA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60333C-7C58-47B4-9D4E-3642B69D5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6E956D-4AAE-46F2-A28E-D1C72B581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142107-34BD-484C-B975-79D668903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CA5860-F402-45BD-B898-28DB58F55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199987-067B-4C0B-9221-A2E259641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432260-591D-464A-B1D6-894CD93E6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2CB38A-FA9B-4A1D-AA34-E23CD344E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39960-F47F-4983-ACA9-FEB7536BE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FC9CF3-E1DD-4A97-9AC2-3D4100F87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F562AF-44E3-452C-9973-64B46E8B5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CFEE7E-A5A7-442B-A616-7E7EC39DF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2AAD97-33DD-4A2E-A383-9D7F3591D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437C45-B1BE-4BCC-8371-0BABC3D6F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AA10FC-8F20-44E4-88FB-04509B2AE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2FF55A-1416-416D-9403-7470B3E6C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9CA54A-99B1-47A1-A6E1-BF2B0811B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58EC4D-C87E-416E-989F-1A26C7007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9C7760-EFAD-4845-A987-307BB8BB7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822F85-90AD-411B-863A-BDBA60B51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952332-791B-4156-97A5-4D369B379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E09444-E1E6-430A-945B-3C1A3322B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379033-8238-4611-B81C-F2938D7EA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22E67F-242D-4A99-AEA0-B75ECC34F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BE41BF-DA48-44B8-8938-2F9E0B666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C55CD3-2E33-4D18-9195-D716650AC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FC2ADD-4716-4964-AA9A-85B394E24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8083DA-7CC0-402D-A687-121FCE951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3AC938-6A8C-4682-B50D-F83804C2F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9C0DAA-A1B6-4BA1-A250-AD7B19022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3AFDAF-EEAD-493C-9538-E2D9A70D3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A6D070-345D-47EA-904E-0B60E201E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68D013-223A-44B4-BC18-B45BA0F5B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656F9F-DA7B-47DF-9A0A-C9D70A9AB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5E12A8-8DFB-4394-9FD8-B50DA61AB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22F65-3049-444F-9BA0-DD4E48269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0661E5-F008-485F-B1D7-541A03A06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3B1F2-C2D2-48A7-91DE-A77175CDB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F01B8C-2459-4BE9-BB04-5883C262A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B88062-6A17-4371-B884-BC2136697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3378A7-9032-4F6C-AFDB-0EFCE8CB2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0DD010-337C-4A6E-89AB-D2F63765E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4F4670-E358-4643-A57A-554960B10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543778-7AA5-4F4E-AC5F-6313AD322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2E80DB-84EB-47B5-8250-897F40A1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EF3778-9538-4EA7-8E72-F5D12A354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50904D-3081-4D61-B959-71A210F86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BD19F8-CAFD-4E7A-A583-1E81D21A5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F9A791-6AC8-4D0B-85CE-6B0D5A199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7C34EA-5EA9-4994-9C41-2C1EF8573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D78EB6-952E-42A2-85E7-248241F25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6A4317-AC62-4FD7-84EC-BC0563562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E65FF7-3FC8-4224-8C0B-866DE4563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C59004-1A4C-4933-A51A-D65DF2994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AAA5CF-8971-41AE-9433-BB19217BD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21B3A5-49C5-4257-B6F9-5CB87D7BE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6F3FF7-9A2E-4E47-8DB4-C469838E4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7892AC-3385-4A16-B70E-F4F75B13F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FC49C2-30CA-46E2-81A9-538B7D5B5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26326B-BCE0-4091-923B-14FD370E0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EDBA7E-5637-4F84-A373-AE9984953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8B88E3-8765-4E39-9099-5B1DF1CEC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2EC37A-7AC3-475F-A1B7-FD16D7098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C5455F-4DEB-4344-8323-01D57D838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52AEAC-5118-4DC7-A368-379E4B0A1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9862D-3B7F-4969-9210-EE4D66153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D8A150-B5E9-4B6F-8E9D-0A05093D1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E11403-8AE1-40D2-BC0F-E86F03C5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377CF8-C8FA-4AAB-BC49-A4561BCFC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64769C-5EB0-4DD3-B8D5-0F9BC2AE5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F218CF-0916-40CE-91D5-25B3C9490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CF285D-08D5-4FF0-9242-1F02ED10B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9ACE31-5EF4-4540-B1DA-0038CDB56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81A742-5EF7-4CA0-984E-31BDF82A5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63032F-28CF-44F3-AD63-4AED2796E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E8381A-CF24-4AE0-8876-47AAA3FE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B6EF75-BFFA-4A8C-9BF4-33B9EC49D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F7A957-7094-4E14-8098-90A502E0A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D4E8B7-8A6B-4FD2-98FE-F42B683E6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4A1DBA-B6B3-44AC-99C8-3ADA651DB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A80D8A-BE36-4DE1-B318-4FE519D63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AEFEE8-A82C-4160-9CEF-D92A63434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25B3BA-7671-4967-B470-EAAEA6729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C2D2A0-2A16-4F6F-BB89-050566527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C96916-7D44-46FC-8E3C-ADA5401A4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1FD5DD-2150-40BC-8790-763908E97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21E427-8610-4360-9F8A-CF1046504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51AF66-198D-4589-A4D2-B49BF310C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77AC58-F1E2-4D63-BB50-D1A273360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76D86A-1349-4886-8F23-84E1C253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5B4F8A-BF48-4E53-8D29-71470A75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016104-5A84-4F3C-981C-9CA996A9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04D6C2-482A-49F8-87E2-138C7DE28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017BBA-C84E-4FB7-8A10-3C63D8E06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EB9A0C-434E-4E01-BB4A-4CE6BF93F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78F944-47E6-4D4F-A1A8-C84875385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2E373F-4F65-4F00-B67D-BC86D3362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475D94-EBDC-459F-AD47-0A31D09DA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7EB580-96AA-4FA2-99CC-6C6D4DA91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8568F8-75CF-4127-8C2D-7D91D3F1B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202878-6C8C-48DE-86FD-9FEEFCBE9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F26C31-69A6-43EC-B698-73D214801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D1D5BC-2350-44EF-A315-0F71CD6BB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ADB0EE-3D33-41CE-9C7A-81B980CB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C0559B-243D-43A1-93E1-77977AB7C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1C5F33-E3C0-4403-AF28-BB0722F16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0E6A4D-CE3D-45CF-9551-63C4889A7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4DB5AA-589E-4520-8F3A-1E40F4089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A29C19-4067-4841-BE66-C719E772E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7EFA29-BE0A-441F-9EFA-A270331E6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B2D966-5488-462A-8C92-F50E4E5F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29E3E0-6505-40A3-A69F-975E355BF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5829C0-BE37-412B-BB19-03AD94CE7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9270F1-E014-4BA0-8681-557055C27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3D67C6-6D3D-45EB-BBDD-F74AC09D6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284C85-968C-43CB-9713-8AE15596A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5FC4C5-3FF6-4DD3-960C-03B00A5D3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718B5F-D9BD-4510-B693-781C8A96D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D85B9F-F2D2-4652-AE16-B2AD1575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695B5D-5B3C-4AE5-8903-D0133291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A5D942-5B9B-460C-AACF-F50E81079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F708C-BABD-4D9A-8DF8-A8AC02327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305774-B7E2-40E9-993D-8E922E502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0C21C9-C162-400D-B44F-2BA70D3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71EF39-2639-43C6-9CF9-39B060683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68EC40-FF86-44D6-905E-FFBF3FEB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E9B399-701D-437C-8CBF-5AA5AA3FD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5B7669-24E4-4408-8481-80B3D3D7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71843A-1BBB-4B48-AA1C-588F67AE4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45555B-6087-43A7-9E39-F94EEA72D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EDF544-901C-4F35-BBF8-367809A13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282BE0-8879-43C5-A439-7BDFA57EA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21BC04-A833-4F6C-88EF-688F0CAF5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4B7A17-575E-4630-B8AF-BFE5B1FBD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E26784-90D9-4ADA-AB89-DA708DB3B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183560-E89B-49E0-9D52-0D1999C10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72335C-BDCB-42A0-9C7A-C3141F861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104247-909D-4D64-BC7E-7C73A8B99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87757A-0626-4867-9108-D8CF7D7F3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00F521-C5F3-4E74-A184-2794290E7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248750-BBEE-43F4-86DA-9F58BC49B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24CFA3-A71F-4DA6-977E-D080942E6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5C0168-AA45-42C5-8F43-4410A733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82CCB5-62A6-4599-96B4-D7D51B220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715301-40B0-4FA3-94EE-877919CF9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EA5F21-4C49-438C-A483-490F311D4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02E7B6-C862-4A14-B226-62A53D14A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380FE4-9EE1-41D2-92E1-7530D529E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06E9AA-2349-4240-B011-8C0E6FAF9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2AC93C-44BB-4CF7-8130-EAC7F3F6D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1F8D0B-C8A9-4051-AB6E-C0A3A98D4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A72E51-E013-44A5-9204-9EC788F5B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3B62C5-6D41-43FE-997A-E65F591A4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EA291F-0656-4C22-96A7-58B4E34EC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02E7D5-48FC-4FB6-9A17-3B3D564D8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2</xdr:col>
      <xdr:colOff>279425</xdr:colOff>
      <xdr:row>4</xdr:row>
      <xdr:rowOff>72847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2B42E7-E11F-4452-BAA2-D6190927F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4300"/>
          <a:ext cx="2117750" cy="7205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corporatesupplies.com.pk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info@corporatesupplies.com.pk" TargetMode="Externa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0.xml"/><Relationship Id="rId2" Type="http://schemas.openxmlformats.org/officeDocument/2006/relationships/printerSettings" Target="../printerSettings/printerSettings100.bin"/><Relationship Id="rId1" Type="http://schemas.openxmlformats.org/officeDocument/2006/relationships/hyperlink" Target="mailto:info@corporatesupplies.com.pk" TargetMode="Externa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1.xml"/><Relationship Id="rId2" Type="http://schemas.openxmlformats.org/officeDocument/2006/relationships/printerSettings" Target="../printerSettings/printerSettings101.bin"/><Relationship Id="rId1" Type="http://schemas.openxmlformats.org/officeDocument/2006/relationships/hyperlink" Target="mailto:info@corporatesupplies.com.pk" TargetMode="Externa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2.xml"/><Relationship Id="rId2" Type="http://schemas.openxmlformats.org/officeDocument/2006/relationships/printerSettings" Target="../printerSettings/printerSettings102.bin"/><Relationship Id="rId1" Type="http://schemas.openxmlformats.org/officeDocument/2006/relationships/hyperlink" Target="mailto:info@corporatesupplies.com.pk" TargetMode="Externa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3.xml"/><Relationship Id="rId2" Type="http://schemas.openxmlformats.org/officeDocument/2006/relationships/printerSettings" Target="../printerSettings/printerSettings103.bin"/><Relationship Id="rId1" Type="http://schemas.openxmlformats.org/officeDocument/2006/relationships/hyperlink" Target="mailto:info@corporatesupplies.com.pk" TargetMode="External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4.xml"/><Relationship Id="rId2" Type="http://schemas.openxmlformats.org/officeDocument/2006/relationships/printerSettings" Target="../printerSettings/printerSettings104.bin"/><Relationship Id="rId1" Type="http://schemas.openxmlformats.org/officeDocument/2006/relationships/hyperlink" Target="mailto:info@corporatesupplies.com.pk" TargetMode="Externa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5.xml"/><Relationship Id="rId2" Type="http://schemas.openxmlformats.org/officeDocument/2006/relationships/printerSettings" Target="../printerSettings/printerSettings105.bin"/><Relationship Id="rId1" Type="http://schemas.openxmlformats.org/officeDocument/2006/relationships/hyperlink" Target="mailto:info@corporatesupplies.com.pk" TargetMode="Externa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6.xml"/><Relationship Id="rId2" Type="http://schemas.openxmlformats.org/officeDocument/2006/relationships/printerSettings" Target="../printerSettings/printerSettings106.bin"/><Relationship Id="rId1" Type="http://schemas.openxmlformats.org/officeDocument/2006/relationships/hyperlink" Target="mailto:info@corporatesupplies.com.pk" TargetMode="External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7.xml"/><Relationship Id="rId2" Type="http://schemas.openxmlformats.org/officeDocument/2006/relationships/printerSettings" Target="../printerSettings/printerSettings107.bin"/><Relationship Id="rId1" Type="http://schemas.openxmlformats.org/officeDocument/2006/relationships/hyperlink" Target="mailto:info@corporatesupplies.com.pk" TargetMode="External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8.xml"/><Relationship Id="rId2" Type="http://schemas.openxmlformats.org/officeDocument/2006/relationships/printerSettings" Target="../printerSettings/printerSettings108.bin"/><Relationship Id="rId1" Type="http://schemas.openxmlformats.org/officeDocument/2006/relationships/hyperlink" Target="mailto:info@corporatesupplies.com.pk" TargetMode="Externa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9.xml"/><Relationship Id="rId2" Type="http://schemas.openxmlformats.org/officeDocument/2006/relationships/printerSettings" Target="../printerSettings/printerSettings109.bin"/><Relationship Id="rId1" Type="http://schemas.openxmlformats.org/officeDocument/2006/relationships/hyperlink" Target="mailto:info@corporatesupplies.com.pk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info@corporatesupplies.com.pk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0.xml"/><Relationship Id="rId2" Type="http://schemas.openxmlformats.org/officeDocument/2006/relationships/printerSettings" Target="../printerSettings/printerSettings110.bin"/><Relationship Id="rId1" Type="http://schemas.openxmlformats.org/officeDocument/2006/relationships/hyperlink" Target="mailto:info@corporatesupplies.com.pk" TargetMode="Externa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1.xml"/><Relationship Id="rId2" Type="http://schemas.openxmlformats.org/officeDocument/2006/relationships/printerSettings" Target="../printerSettings/printerSettings111.bin"/><Relationship Id="rId1" Type="http://schemas.openxmlformats.org/officeDocument/2006/relationships/hyperlink" Target="mailto:info@corporatesupplies.com.pk" TargetMode="Externa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2.xml"/><Relationship Id="rId2" Type="http://schemas.openxmlformats.org/officeDocument/2006/relationships/printerSettings" Target="../printerSettings/printerSettings112.bin"/><Relationship Id="rId1" Type="http://schemas.openxmlformats.org/officeDocument/2006/relationships/hyperlink" Target="mailto:info@corporatesupplies.com.pk" TargetMode="External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3.xml"/><Relationship Id="rId2" Type="http://schemas.openxmlformats.org/officeDocument/2006/relationships/printerSettings" Target="../printerSettings/printerSettings113.bin"/><Relationship Id="rId1" Type="http://schemas.openxmlformats.org/officeDocument/2006/relationships/hyperlink" Target="mailto:info@corporatesupplies.com.pk" TargetMode="External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4.xml"/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info@corporatesupplies.com.pk" TargetMode="Externa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5.xml"/><Relationship Id="rId2" Type="http://schemas.openxmlformats.org/officeDocument/2006/relationships/printerSettings" Target="../printerSettings/printerSettings115.bin"/><Relationship Id="rId1" Type="http://schemas.openxmlformats.org/officeDocument/2006/relationships/hyperlink" Target="mailto:info@corporatesupplies.com.pk" TargetMode="External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6.xml"/><Relationship Id="rId2" Type="http://schemas.openxmlformats.org/officeDocument/2006/relationships/printerSettings" Target="../printerSettings/printerSettings116.bin"/><Relationship Id="rId1" Type="http://schemas.openxmlformats.org/officeDocument/2006/relationships/hyperlink" Target="mailto:info@corporatesupplies.com.pk" TargetMode="External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7.xml"/><Relationship Id="rId2" Type="http://schemas.openxmlformats.org/officeDocument/2006/relationships/printerSettings" Target="../printerSettings/printerSettings117.bin"/><Relationship Id="rId1" Type="http://schemas.openxmlformats.org/officeDocument/2006/relationships/hyperlink" Target="mailto:info@corporatesupplies.com.pk" TargetMode="External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8.xml"/><Relationship Id="rId2" Type="http://schemas.openxmlformats.org/officeDocument/2006/relationships/printerSettings" Target="../printerSettings/printerSettings118.bin"/><Relationship Id="rId1" Type="http://schemas.openxmlformats.org/officeDocument/2006/relationships/hyperlink" Target="mailto:info@corporatesupplies.com.pk" TargetMode="External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9.xml"/><Relationship Id="rId2" Type="http://schemas.openxmlformats.org/officeDocument/2006/relationships/printerSettings" Target="../printerSettings/printerSettings119.bin"/><Relationship Id="rId1" Type="http://schemas.openxmlformats.org/officeDocument/2006/relationships/hyperlink" Target="mailto:info@corporatesupplies.com.pk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info@corporatesupplies.com.pk" TargetMode="External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0.xml"/><Relationship Id="rId2" Type="http://schemas.openxmlformats.org/officeDocument/2006/relationships/printerSettings" Target="../printerSettings/printerSettings120.bin"/><Relationship Id="rId1" Type="http://schemas.openxmlformats.org/officeDocument/2006/relationships/hyperlink" Target="mailto:info@corporatesupplies.com.pk" TargetMode="Externa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1.xml"/><Relationship Id="rId2" Type="http://schemas.openxmlformats.org/officeDocument/2006/relationships/printerSettings" Target="../printerSettings/printerSettings121.bin"/><Relationship Id="rId1" Type="http://schemas.openxmlformats.org/officeDocument/2006/relationships/hyperlink" Target="mailto:info@corporatesupplies.com.pk" TargetMode="External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2.xml"/><Relationship Id="rId2" Type="http://schemas.openxmlformats.org/officeDocument/2006/relationships/printerSettings" Target="../printerSettings/printerSettings122.bin"/><Relationship Id="rId1" Type="http://schemas.openxmlformats.org/officeDocument/2006/relationships/hyperlink" Target="mailto:info@corporatesupplies.com.pk" TargetMode="Externa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3.xml"/><Relationship Id="rId2" Type="http://schemas.openxmlformats.org/officeDocument/2006/relationships/printerSettings" Target="../printerSettings/printerSettings123.bin"/><Relationship Id="rId1" Type="http://schemas.openxmlformats.org/officeDocument/2006/relationships/hyperlink" Target="mailto:info@corporatesupplies.com.pk" TargetMode="Externa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4.xml"/><Relationship Id="rId2" Type="http://schemas.openxmlformats.org/officeDocument/2006/relationships/printerSettings" Target="../printerSettings/printerSettings124.bin"/><Relationship Id="rId1" Type="http://schemas.openxmlformats.org/officeDocument/2006/relationships/hyperlink" Target="mailto:info@corporatesupplies.com.pk" TargetMode="Externa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5.xml"/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mailto:info@corporatesupplies.com.pk" TargetMode="Externa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6.xml"/><Relationship Id="rId2" Type="http://schemas.openxmlformats.org/officeDocument/2006/relationships/printerSettings" Target="../printerSettings/printerSettings126.bin"/><Relationship Id="rId1" Type="http://schemas.openxmlformats.org/officeDocument/2006/relationships/hyperlink" Target="mailto:info@corporatesupplies.com.pk" TargetMode="Externa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7.xml"/><Relationship Id="rId2" Type="http://schemas.openxmlformats.org/officeDocument/2006/relationships/printerSettings" Target="../printerSettings/printerSettings127.bin"/><Relationship Id="rId1" Type="http://schemas.openxmlformats.org/officeDocument/2006/relationships/hyperlink" Target="mailto:info@corporatesupplies.com.pk" TargetMode="Externa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8.xml"/><Relationship Id="rId2" Type="http://schemas.openxmlformats.org/officeDocument/2006/relationships/printerSettings" Target="../printerSettings/printerSettings128.bin"/><Relationship Id="rId1" Type="http://schemas.openxmlformats.org/officeDocument/2006/relationships/hyperlink" Target="mailto:info@corporatesupplies.com.pk" TargetMode="Externa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9.xml"/><Relationship Id="rId2" Type="http://schemas.openxmlformats.org/officeDocument/2006/relationships/printerSettings" Target="../printerSettings/printerSettings129.bin"/><Relationship Id="rId1" Type="http://schemas.openxmlformats.org/officeDocument/2006/relationships/hyperlink" Target="mailto:info@corporatesupplies.com.pk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info@corporatesupplies.com.pk" TargetMode="External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0.xml"/><Relationship Id="rId2" Type="http://schemas.openxmlformats.org/officeDocument/2006/relationships/printerSettings" Target="../printerSettings/printerSettings130.bin"/><Relationship Id="rId1" Type="http://schemas.openxmlformats.org/officeDocument/2006/relationships/hyperlink" Target="mailto:info@corporatesupplies.com.pk" TargetMode="Externa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1.xml"/><Relationship Id="rId2" Type="http://schemas.openxmlformats.org/officeDocument/2006/relationships/printerSettings" Target="../printerSettings/printerSettings131.bin"/><Relationship Id="rId1" Type="http://schemas.openxmlformats.org/officeDocument/2006/relationships/hyperlink" Target="mailto:info@corporatesupplies.com.pk" TargetMode="Externa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2.xml"/><Relationship Id="rId2" Type="http://schemas.openxmlformats.org/officeDocument/2006/relationships/printerSettings" Target="../printerSettings/printerSettings132.bin"/><Relationship Id="rId1" Type="http://schemas.openxmlformats.org/officeDocument/2006/relationships/hyperlink" Target="mailto:info@corporatesupplies.com.pk" TargetMode="External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3.xml"/><Relationship Id="rId2" Type="http://schemas.openxmlformats.org/officeDocument/2006/relationships/printerSettings" Target="../printerSettings/printerSettings133.bin"/><Relationship Id="rId1" Type="http://schemas.openxmlformats.org/officeDocument/2006/relationships/hyperlink" Target="mailto:info@corporatesupplies.com.pk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4.xml"/><Relationship Id="rId2" Type="http://schemas.openxmlformats.org/officeDocument/2006/relationships/printerSettings" Target="../printerSettings/printerSettings134.bin"/><Relationship Id="rId1" Type="http://schemas.openxmlformats.org/officeDocument/2006/relationships/hyperlink" Target="mailto:info@corporatesupplies.com.pk" TargetMode="External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5.xml"/><Relationship Id="rId2" Type="http://schemas.openxmlformats.org/officeDocument/2006/relationships/printerSettings" Target="../printerSettings/printerSettings135.bin"/><Relationship Id="rId1" Type="http://schemas.openxmlformats.org/officeDocument/2006/relationships/hyperlink" Target="mailto:info@corporatesupplies.com.pk" TargetMode="External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6.xml"/><Relationship Id="rId2" Type="http://schemas.openxmlformats.org/officeDocument/2006/relationships/printerSettings" Target="../printerSettings/printerSettings136.bin"/><Relationship Id="rId1" Type="http://schemas.openxmlformats.org/officeDocument/2006/relationships/hyperlink" Target="mailto:info@corporatesupplies.com.pk" TargetMode="External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7.xml"/><Relationship Id="rId2" Type="http://schemas.openxmlformats.org/officeDocument/2006/relationships/printerSettings" Target="../printerSettings/printerSettings137.bin"/><Relationship Id="rId1" Type="http://schemas.openxmlformats.org/officeDocument/2006/relationships/hyperlink" Target="mailto:info@corporatesupplies.com.pk" TargetMode="External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8.xml"/><Relationship Id="rId2" Type="http://schemas.openxmlformats.org/officeDocument/2006/relationships/printerSettings" Target="../printerSettings/printerSettings138.bin"/><Relationship Id="rId1" Type="http://schemas.openxmlformats.org/officeDocument/2006/relationships/hyperlink" Target="mailto:info@corporatesupplies.com.pk" TargetMode="External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9.xml"/><Relationship Id="rId2" Type="http://schemas.openxmlformats.org/officeDocument/2006/relationships/printerSettings" Target="../printerSettings/printerSettings139.bin"/><Relationship Id="rId1" Type="http://schemas.openxmlformats.org/officeDocument/2006/relationships/hyperlink" Target="mailto:info@corporatesupplies.com.pk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info@corporatesupplies.com.pk" TargetMode="External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0.xml"/><Relationship Id="rId2" Type="http://schemas.openxmlformats.org/officeDocument/2006/relationships/printerSettings" Target="../printerSettings/printerSettings140.bin"/><Relationship Id="rId1" Type="http://schemas.openxmlformats.org/officeDocument/2006/relationships/hyperlink" Target="mailto:info@corporatesupplies.com.pk" TargetMode="External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1.xml"/><Relationship Id="rId2" Type="http://schemas.openxmlformats.org/officeDocument/2006/relationships/printerSettings" Target="../printerSettings/printerSettings141.bin"/><Relationship Id="rId1" Type="http://schemas.openxmlformats.org/officeDocument/2006/relationships/hyperlink" Target="mailto:info@corporatesupplies.com.pk" TargetMode="External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2.xml"/><Relationship Id="rId2" Type="http://schemas.openxmlformats.org/officeDocument/2006/relationships/printerSettings" Target="../printerSettings/printerSettings142.bin"/><Relationship Id="rId1" Type="http://schemas.openxmlformats.org/officeDocument/2006/relationships/hyperlink" Target="mailto:info@corporatesupplies.com.pk" TargetMode="Externa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3.xml"/><Relationship Id="rId2" Type="http://schemas.openxmlformats.org/officeDocument/2006/relationships/printerSettings" Target="../printerSettings/printerSettings143.bin"/><Relationship Id="rId1" Type="http://schemas.openxmlformats.org/officeDocument/2006/relationships/hyperlink" Target="mailto:info@corporatesupplies.com.pk" TargetMode="Externa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4.xml"/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mailto:info@corporatesupplies.com.pk" TargetMode="External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5.xml"/><Relationship Id="rId2" Type="http://schemas.openxmlformats.org/officeDocument/2006/relationships/printerSettings" Target="../printerSettings/printerSettings145.bin"/><Relationship Id="rId1" Type="http://schemas.openxmlformats.org/officeDocument/2006/relationships/hyperlink" Target="mailto:info@corporatesupplies.com.pk" TargetMode="External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6.xml"/><Relationship Id="rId2" Type="http://schemas.openxmlformats.org/officeDocument/2006/relationships/printerSettings" Target="../printerSettings/printerSettings146.bin"/><Relationship Id="rId1" Type="http://schemas.openxmlformats.org/officeDocument/2006/relationships/hyperlink" Target="mailto:info@corporatesupplies.com.pk" TargetMode="External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7.xml"/><Relationship Id="rId2" Type="http://schemas.openxmlformats.org/officeDocument/2006/relationships/printerSettings" Target="../printerSettings/printerSettings147.bin"/><Relationship Id="rId1" Type="http://schemas.openxmlformats.org/officeDocument/2006/relationships/hyperlink" Target="mailto:info@corporatesupplies.com.pk" TargetMode="External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8.xml"/><Relationship Id="rId2" Type="http://schemas.openxmlformats.org/officeDocument/2006/relationships/printerSettings" Target="../printerSettings/printerSettings148.bin"/><Relationship Id="rId1" Type="http://schemas.openxmlformats.org/officeDocument/2006/relationships/hyperlink" Target="mailto:info@corporatesupplies.com.pk" TargetMode="External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9.xml"/><Relationship Id="rId2" Type="http://schemas.openxmlformats.org/officeDocument/2006/relationships/printerSettings" Target="../printerSettings/printerSettings149.bin"/><Relationship Id="rId1" Type="http://schemas.openxmlformats.org/officeDocument/2006/relationships/hyperlink" Target="mailto:info@corporatesupplies.com.pk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info@corporatesupplies.com.pk" TargetMode="External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0.xml"/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info@corporatesupplies.com.pk" TargetMode="External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1.xml"/><Relationship Id="rId2" Type="http://schemas.openxmlformats.org/officeDocument/2006/relationships/printerSettings" Target="../printerSettings/printerSettings151.bin"/><Relationship Id="rId1" Type="http://schemas.openxmlformats.org/officeDocument/2006/relationships/hyperlink" Target="mailto:info@corporatesupplies.com.pk" TargetMode="External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2.xml"/><Relationship Id="rId2" Type="http://schemas.openxmlformats.org/officeDocument/2006/relationships/printerSettings" Target="../printerSettings/printerSettings152.bin"/><Relationship Id="rId1" Type="http://schemas.openxmlformats.org/officeDocument/2006/relationships/hyperlink" Target="mailto:info@corporatesupplies.com.pk" TargetMode="External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3.xml"/><Relationship Id="rId2" Type="http://schemas.openxmlformats.org/officeDocument/2006/relationships/printerSettings" Target="../printerSettings/printerSettings153.bin"/><Relationship Id="rId1" Type="http://schemas.openxmlformats.org/officeDocument/2006/relationships/hyperlink" Target="mailto:info@corporatesupplies.com.pk" TargetMode="External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4.xml"/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mailto:info@corporatesupplies.com.pk" TargetMode="External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5.xml"/><Relationship Id="rId2" Type="http://schemas.openxmlformats.org/officeDocument/2006/relationships/printerSettings" Target="../printerSettings/printerSettings155.bin"/><Relationship Id="rId1" Type="http://schemas.openxmlformats.org/officeDocument/2006/relationships/hyperlink" Target="mailto:info@corporatesupplies.com.pk" TargetMode="External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6.xml"/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mailto:info@corporatesupplies.com.pk" TargetMode="External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7.xml"/><Relationship Id="rId2" Type="http://schemas.openxmlformats.org/officeDocument/2006/relationships/printerSettings" Target="../printerSettings/printerSettings157.bin"/><Relationship Id="rId1" Type="http://schemas.openxmlformats.org/officeDocument/2006/relationships/hyperlink" Target="mailto:info@corporatesupplies.com.pk" TargetMode="External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8.xml"/><Relationship Id="rId2" Type="http://schemas.openxmlformats.org/officeDocument/2006/relationships/printerSettings" Target="../printerSettings/printerSettings158.bin"/><Relationship Id="rId1" Type="http://schemas.openxmlformats.org/officeDocument/2006/relationships/hyperlink" Target="mailto:info@corporatesupplies.com.pk" TargetMode="External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9.xml"/><Relationship Id="rId2" Type="http://schemas.openxmlformats.org/officeDocument/2006/relationships/printerSettings" Target="../printerSettings/printerSettings159.bin"/><Relationship Id="rId1" Type="http://schemas.openxmlformats.org/officeDocument/2006/relationships/hyperlink" Target="mailto:info@corporatesupplies.com.pk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info@corporatesupplies.com.pk" TargetMode="External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0.xml"/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mailto:info@corporatesupplies.com.pk" TargetMode="External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1.xml"/><Relationship Id="rId2" Type="http://schemas.openxmlformats.org/officeDocument/2006/relationships/printerSettings" Target="../printerSettings/printerSettings161.bin"/><Relationship Id="rId1" Type="http://schemas.openxmlformats.org/officeDocument/2006/relationships/hyperlink" Target="mailto:info@corporatesupplies.com.pk" TargetMode="External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2.xml"/><Relationship Id="rId2" Type="http://schemas.openxmlformats.org/officeDocument/2006/relationships/printerSettings" Target="../printerSettings/printerSettings162.bin"/><Relationship Id="rId1" Type="http://schemas.openxmlformats.org/officeDocument/2006/relationships/hyperlink" Target="mailto:info@corporatesupplies.com.pk" TargetMode="External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3.xml"/><Relationship Id="rId2" Type="http://schemas.openxmlformats.org/officeDocument/2006/relationships/printerSettings" Target="../printerSettings/printerSettings163.bin"/><Relationship Id="rId1" Type="http://schemas.openxmlformats.org/officeDocument/2006/relationships/hyperlink" Target="mailto:info@corporatesupplies.com.pk" TargetMode="External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4.xml"/><Relationship Id="rId2" Type="http://schemas.openxmlformats.org/officeDocument/2006/relationships/printerSettings" Target="../printerSettings/printerSettings164.bin"/><Relationship Id="rId1" Type="http://schemas.openxmlformats.org/officeDocument/2006/relationships/hyperlink" Target="mailto:info@corporatesupplies.com.pk" TargetMode="External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5.xml"/><Relationship Id="rId2" Type="http://schemas.openxmlformats.org/officeDocument/2006/relationships/printerSettings" Target="../printerSettings/printerSettings165.bin"/><Relationship Id="rId1" Type="http://schemas.openxmlformats.org/officeDocument/2006/relationships/hyperlink" Target="mailto:info@corporatesupplies.com.pk" TargetMode="External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6.xml"/><Relationship Id="rId2" Type="http://schemas.openxmlformats.org/officeDocument/2006/relationships/printerSettings" Target="../printerSettings/printerSettings166.bin"/><Relationship Id="rId1" Type="http://schemas.openxmlformats.org/officeDocument/2006/relationships/hyperlink" Target="mailto:info@corporatesupplies.com.pk" TargetMode="External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7.xml"/><Relationship Id="rId2" Type="http://schemas.openxmlformats.org/officeDocument/2006/relationships/printerSettings" Target="../printerSettings/printerSettings167.bin"/><Relationship Id="rId1" Type="http://schemas.openxmlformats.org/officeDocument/2006/relationships/hyperlink" Target="mailto:info@corporatesupplies.com.pk" TargetMode="External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8.xml"/><Relationship Id="rId2" Type="http://schemas.openxmlformats.org/officeDocument/2006/relationships/printerSettings" Target="../printerSettings/printerSettings168.bin"/><Relationship Id="rId1" Type="http://schemas.openxmlformats.org/officeDocument/2006/relationships/hyperlink" Target="mailto:info@corporatesupplies.com.pk" TargetMode="External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9.xml"/><Relationship Id="rId2" Type="http://schemas.openxmlformats.org/officeDocument/2006/relationships/printerSettings" Target="../printerSettings/printerSettings169.bin"/><Relationship Id="rId1" Type="http://schemas.openxmlformats.org/officeDocument/2006/relationships/hyperlink" Target="mailto:info@corporatesupplies.com.pk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info@corporatesupplies.com.pk" TargetMode="External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0.xml"/><Relationship Id="rId2" Type="http://schemas.openxmlformats.org/officeDocument/2006/relationships/printerSettings" Target="../printerSettings/printerSettings170.bin"/><Relationship Id="rId1" Type="http://schemas.openxmlformats.org/officeDocument/2006/relationships/hyperlink" Target="mailto:info@corporatesupplies.com.pk" TargetMode="External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1.xml"/><Relationship Id="rId2" Type="http://schemas.openxmlformats.org/officeDocument/2006/relationships/printerSettings" Target="../printerSettings/printerSettings171.bin"/><Relationship Id="rId1" Type="http://schemas.openxmlformats.org/officeDocument/2006/relationships/hyperlink" Target="mailto:info@corporatesupplies.com.pk" TargetMode="External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2.xml"/><Relationship Id="rId2" Type="http://schemas.openxmlformats.org/officeDocument/2006/relationships/printerSettings" Target="../printerSettings/printerSettings172.bin"/><Relationship Id="rId1" Type="http://schemas.openxmlformats.org/officeDocument/2006/relationships/hyperlink" Target="mailto:info@corporatesupplies.com.pk" TargetMode="External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3.xml"/><Relationship Id="rId2" Type="http://schemas.openxmlformats.org/officeDocument/2006/relationships/printerSettings" Target="../printerSettings/printerSettings173.bin"/><Relationship Id="rId1" Type="http://schemas.openxmlformats.org/officeDocument/2006/relationships/hyperlink" Target="mailto:info@corporatesupplies.com.pk" TargetMode="External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4.xml"/><Relationship Id="rId2" Type="http://schemas.openxmlformats.org/officeDocument/2006/relationships/printerSettings" Target="../printerSettings/printerSettings174.bin"/><Relationship Id="rId1" Type="http://schemas.openxmlformats.org/officeDocument/2006/relationships/hyperlink" Target="mailto:info@corporatesupplies.com.pk" TargetMode="External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5.xml"/><Relationship Id="rId2" Type="http://schemas.openxmlformats.org/officeDocument/2006/relationships/printerSettings" Target="../printerSettings/printerSettings175.bin"/><Relationship Id="rId1" Type="http://schemas.openxmlformats.org/officeDocument/2006/relationships/hyperlink" Target="mailto:info@corporatesupplies.com.pk" TargetMode="External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6.xml"/><Relationship Id="rId2" Type="http://schemas.openxmlformats.org/officeDocument/2006/relationships/printerSettings" Target="../printerSettings/printerSettings176.bin"/><Relationship Id="rId1" Type="http://schemas.openxmlformats.org/officeDocument/2006/relationships/hyperlink" Target="mailto:info@corporatesupplies.com.pk" TargetMode="External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7.xml"/><Relationship Id="rId2" Type="http://schemas.openxmlformats.org/officeDocument/2006/relationships/printerSettings" Target="../printerSettings/printerSettings177.bin"/><Relationship Id="rId1" Type="http://schemas.openxmlformats.org/officeDocument/2006/relationships/hyperlink" Target="mailto:info@corporatesupplies.com.pk" TargetMode="External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8.xml"/><Relationship Id="rId2" Type="http://schemas.openxmlformats.org/officeDocument/2006/relationships/printerSettings" Target="../printerSettings/printerSettings178.bin"/><Relationship Id="rId1" Type="http://schemas.openxmlformats.org/officeDocument/2006/relationships/hyperlink" Target="mailto:info@corporatesupplies.com.pk" TargetMode="External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9.xml"/><Relationship Id="rId2" Type="http://schemas.openxmlformats.org/officeDocument/2006/relationships/printerSettings" Target="../printerSettings/printerSettings179.bin"/><Relationship Id="rId1" Type="http://schemas.openxmlformats.org/officeDocument/2006/relationships/hyperlink" Target="mailto:info@corporatesupplies.com.pk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info@corporatesupplies.com.pk" TargetMode="External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0.xml"/><Relationship Id="rId2" Type="http://schemas.openxmlformats.org/officeDocument/2006/relationships/printerSettings" Target="../printerSettings/printerSettings180.bin"/><Relationship Id="rId1" Type="http://schemas.openxmlformats.org/officeDocument/2006/relationships/hyperlink" Target="mailto:info@corporatesupplies.com.pk" TargetMode="External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1.xml"/><Relationship Id="rId2" Type="http://schemas.openxmlformats.org/officeDocument/2006/relationships/printerSettings" Target="../printerSettings/printerSettings181.bin"/><Relationship Id="rId1" Type="http://schemas.openxmlformats.org/officeDocument/2006/relationships/hyperlink" Target="mailto:info@corporatesupplies.com.pk" TargetMode="External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2.xml"/><Relationship Id="rId2" Type="http://schemas.openxmlformats.org/officeDocument/2006/relationships/printerSettings" Target="../printerSettings/printerSettings182.bin"/><Relationship Id="rId1" Type="http://schemas.openxmlformats.org/officeDocument/2006/relationships/hyperlink" Target="mailto:info@corporatesupplies.com.pk" TargetMode="External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3.xml"/><Relationship Id="rId2" Type="http://schemas.openxmlformats.org/officeDocument/2006/relationships/printerSettings" Target="../printerSettings/printerSettings183.bin"/><Relationship Id="rId1" Type="http://schemas.openxmlformats.org/officeDocument/2006/relationships/hyperlink" Target="mailto:info@corporatesupplies.com.pk" TargetMode="External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4.xml"/><Relationship Id="rId2" Type="http://schemas.openxmlformats.org/officeDocument/2006/relationships/printerSettings" Target="../printerSettings/printerSettings184.bin"/><Relationship Id="rId1" Type="http://schemas.openxmlformats.org/officeDocument/2006/relationships/hyperlink" Target="mailto:info@corporatesupplies.com.pk" TargetMode="External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5.xml"/><Relationship Id="rId2" Type="http://schemas.openxmlformats.org/officeDocument/2006/relationships/printerSettings" Target="../printerSettings/printerSettings185.bin"/><Relationship Id="rId1" Type="http://schemas.openxmlformats.org/officeDocument/2006/relationships/hyperlink" Target="mailto:info@corporatesupplies.com.pk" TargetMode="External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6.xml"/><Relationship Id="rId2" Type="http://schemas.openxmlformats.org/officeDocument/2006/relationships/printerSettings" Target="../printerSettings/printerSettings186.bin"/><Relationship Id="rId1" Type="http://schemas.openxmlformats.org/officeDocument/2006/relationships/hyperlink" Target="mailto:info@corporatesupplies.com.pk" TargetMode="External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7.xml"/><Relationship Id="rId2" Type="http://schemas.openxmlformats.org/officeDocument/2006/relationships/printerSettings" Target="../printerSettings/printerSettings187.bin"/><Relationship Id="rId1" Type="http://schemas.openxmlformats.org/officeDocument/2006/relationships/hyperlink" Target="mailto:info@corporatesupplies.com.pk" TargetMode="External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8.xml"/><Relationship Id="rId2" Type="http://schemas.openxmlformats.org/officeDocument/2006/relationships/printerSettings" Target="../printerSettings/printerSettings188.bin"/><Relationship Id="rId1" Type="http://schemas.openxmlformats.org/officeDocument/2006/relationships/hyperlink" Target="mailto:info@corporatesupplies.com.pk" TargetMode="External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9.xml"/><Relationship Id="rId2" Type="http://schemas.openxmlformats.org/officeDocument/2006/relationships/printerSettings" Target="../printerSettings/printerSettings189.bin"/><Relationship Id="rId1" Type="http://schemas.openxmlformats.org/officeDocument/2006/relationships/hyperlink" Target="mailto:info@corporatesupplies.com.pk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info@corporatesupplies.com.pk" TargetMode="External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0.xml"/><Relationship Id="rId2" Type="http://schemas.openxmlformats.org/officeDocument/2006/relationships/printerSettings" Target="../printerSettings/printerSettings190.bin"/><Relationship Id="rId1" Type="http://schemas.openxmlformats.org/officeDocument/2006/relationships/hyperlink" Target="mailto:info@corporatesupplies.com.pk" TargetMode="External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1.xml"/><Relationship Id="rId2" Type="http://schemas.openxmlformats.org/officeDocument/2006/relationships/printerSettings" Target="../printerSettings/printerSettings191.bin"/><Relationship Id="rId1" Type="http://schemas.openxmlformats.org/officeDocument/2006/relationships/hyperlink" Target="mailto:info@corporatesupplies.com.pk" TargetMode="External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2.xml"/><Relationship Id="rId2" Type="http://schemas.openxmlformats.org/officeDocument/2006/relationships/printerSettings" Target="../printerSettings/printerSettings192.bin"/><Relationship Id="rId1" Type="http://schemas.openxmlformats.org/officeDocument/2006/relationships/hyperlink" Target="mailto:info@corporatesupplies.com.pk" TargetMode="External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3.xml"/><Relationship Id="rId2" Type="http://schemas.openxmlformats.org/officeDocument/2006/relationships/printerSettings" Target="../printerSettings/printerSettings193.bin"/><Relationship Id="rId1" Type="http://schemas.openxmlformats.org/officeDocument/2006/relationships/hyperlink" Target="mailto:info@corporatesupplies.com.pk" TargetMode="External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4.xml"/><Relationship Id="rId2" Type="http://schemas.openxmlformats.org/officeDocument/2006/relationships/printerSettings" Target="../printerSettings/printerSettings194.bin"/><Relationship Id="rId1" Type="http://schemas.openxmlformats.org/officeDocument/2006/relationships/hyperlink" Target="mailto:info@corporatesupplies.com.pk" TargetMode="External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5.xml"/><Relationship Id="rId2" Type="http://schemas.openxmlformats.org/officeDocument/2006/relationships/printerSettings" Target="../printerSettings/printerSettings195.bin"/><Relationship Id="rId1" Type="http://schemas.openxmlformats.org/officeDocument/2006/relationships/hyperlink" Target="mailto:info@corporatesupplies.com.pk" TargetMode="External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6.xml"/><Relationship Id="rId2" Type="http://schemas.openxmlformats.org/officeDocument/2006/relationships/printerSettings" Target="../printerSettings/printerSettings196.bin"/><Relationship Id="rId1" Type="http://schemas.openxmlformats.org/officeDocument/2006/relationships/hyperlink" Target="mailto:info@corporatesupplies.com.pk" TargetMode="External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7.xml"/><Relationship Id="rId2" Type="http://schemas.openxmlformats.org/officeDocument/2006/relationships/printerSettings" Target="../printerSettings/printerSettings197.bin"/><Relationship Id="rId1" Type="http://schemas.openxmlformats.org/officeDocument/2006/relationships/hyperlink" Target="mailto:info@corporatesupplies.com.pk" TargetMode="External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8.xml"/><Relationship Id="rId2" Type="http://schemas.openxmlformats.org/officeDocument/2006/relationships/printerSettings" Target="../printerSettings/printerSettings198.bin"/><Relationship Id="rId1" Type="http://schemas.openxmlformats.org/officeDocument/2006/relationships/hyperlink" Target="mailto:info@corporatesupplies.com.pk" TargetMode="External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9.xml"/><Relationship Id="rId2" Type="http://schemas.openxmlformats.org/officeDocument/2006/relationships/printerSettings" Target="../printerSettings/printerSettings199.bin"/><Relationship Id="rId1" Type="http://schemas.openxmlformats.org/officeDocument/2006/relationships/hyperlink" Target="mailto:info@corporatesupplies.com.pk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info@corporatesupplies.com.pk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info@corporatesupplies.com.pk" TargetMode="External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0.xml"/><Relationship Id="rId2" Type="http://schemas.openxmlformats.org/officeDocument/2006/relationships/printerSettings" Target="../printerSettings/printerSettings200.bin"/><Relationship Id="rId1" Type="http://schemas.openxmlformats.org/officeDocument/2006/relationships/hyperlink" Target="mailto:info@corporatesupplies.com.pk" TargetMode="External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1.xml"/><Relationship Id="rId2" Type="http://schemas.openxmlformats.org/officeDocument/2006/relationships/printerSettings" Target="../printerSettings/printerSettings201.bin"/><Relationship Id="rId1" Type="http://schemas.openxmlformats.org/officeDocument/2006/relationships/hyperlink" Target="mailto:info@corporatesupplies.com.pk" TargetMode="External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2.xml"/><Relationship Id="rId2" Type="http://schemas.openxmlformats.org/officeDocument/2006/relationships/printerSettings" Target="../printerSettings/printerSettings202.bin"/><Relationship Id="rId1" Type="http://schemas.openxmlformats.org/officeDocument/2006/relationships/hyperlink" Target="mailto:info@corporatesupplies.com.pk" TargetMode="External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3.xml"/><Relationship Id="rId2" Type="http://schemas.openxmlformats.org/officeDocument/2006/relationships/printerSettings" Target="../printerSettings/printerSettings203.bin"/><Relationship Id="rId1" Type="http://schemas.openxmlformats.org/officeDocument/2006/relationships/hyperlink" Target="mailto:info@corporatesupplies.com.pk" TargetMode="External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4.xml"/><Relationship Id="rId2" Type="http://schemas.openxmlformats.org/officeDocument/2006/relationships/printerSettings" Target="../printerSettings/printerSettings204.bin"/><Relationship Id="rId1" Type="http://schemas.openxmlformats.org/officeDocument/2006/relationships/hyperlink" Target="mailto:info@corporatesupplies.com.pk" TargetMode="External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5.xml"/><Relationship Id="rId2" Type="http://schemas.openxmlformats.org/officeDocument/2006/relationships/printerSettings" Target="../printerSettings/printerSettings205.bin"/><Relationship Id="rId1" Type="http://schemas.openxmlformats.org/officeDocument/2006/relationships/hyperlink" Target="mailto:info@corporatesupplies.com.pk" TargetMode="External"/></Relationships>
</file>

<file path=xl/worksheets/_rels/sheet20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6.xml"/><Relationship Id="rId2" Type="http://schemas.openxmlformats.org/officeDocument/2006/relationships/printerSettings" Target="../printerSettings/printerSettings206.bin"/><Relationship Id="rId1" Type="http://schemas.openxmlformats.org/officeDocument/2006/relationships/hyperlink" Target="mailto:info@corporatesupplies.com.pk" TargetMode="External"/></Relationships>
</file>

<file path=xl/worksheets/_rels/sheet20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7.xml"/><Relationship Id="rId2" Type="http://schemas.openxmlformats.org/officeDocument/2006/relationships/printerSettings" Target="../printerSettings/printerSettings207.bin"/><Relationship Id="rId1" Type="http://schemas.openxmlformats.org/officeDocument/2006/relationships/hyperlink" Target="mailto:info@corporatesupplies.com.pk" TargetMode="External"/></Relationships>
</file>

<file path=xl/worksheets/_rels/sheet20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8.xml"/><Relationship Id="rId2" Type="http://schemas.openxmlformats.org/officeDocument/2006/relationships/printerSettings" Target="../printerSettings/printerSettings208.bin"/><Relationship Id="rId1" Type="http://schemas.openxmlformats.org/officeDocument/2006/relationships/hyperlink" Target="mailto:info@corporatesupplies.com.pk" TargetMode="External"/></Relationships>
</file>

<file path=xl/worksheets/_rels/sheet20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9.xml"/><Relationship Id="rId2" Type="http://schemas.openxmlformats.org/officeDocument/2006/relationships/printerSettings" Target="../printerSettings/printerSettings209.bin"/><Relationship Id="rId1" Type="http://schemas.openxmlformats.org/officeDocument/2006/relationships/hyperlink" Target="mailto:info@corporatesupplies.com.pk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info@corporatesupplies.com.pk" TargetMode="External"/></Relationships>
</file>

<file path=xl/worksheets/_rels/sheet2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0.xml"/><Relationship Id="rId2" Type="http://schemas.openxmlformats.org/officeDocument/2006/relationships/printerSettings" Target="../printerSettings/printerSettings210.bin"/><Relationship Id="rId1" Type="http://schemas.openxmlformats.org/officeDocument/2006/relationships/hyperlink" Target="mailto:info@corporatesupplies.com.pk" TargetMode="External"/></Relationships>
</file>

<file path=xl/worksheets/_rels/sheet2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1.xml"/><Relationship Id="rId2" Type="http://schemas.openxmlformats.org/officeDocument/2006/relationships/printerSettings" Target="../printerSettings/printerSettings211.bin"/><Relationship Id="rId1" Type="http://schemas.openxmlformats.org/officeDocument/2006/relationships/hyperlink" Target="mailto:info@corporatesupplies.com.pk" TargetMode="External"/></Relationships>
</file>

<file path=xl/worksheets/_rels/sheet2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2.xml"/><Relationship Id="rId2" Type="http://schemas.openxmlformats.org/officeDocument/2006/relationships/printerSettings" Target="../printerSettings/printerSettings212.bin"/><Relationship Id="rId1" Type="http://schemas.openxmlformats.org/officeDocument/2006/relationships/hyperlink" Target="mailto:info@corporatesupplies.com.pk" TargetMode="External"/></Relationships>
</file>

<file path=xl/worksheets/_rels/sheet2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3.xml"/><Relationship Id="rId2" Type="http://schemas.openxmlformats.org/officeDocument/2006/relationships/printerSettings" Target="../printerSettings/printerSettings213.bin"/><Relationship Id="rId1" Type="http://schemas.openxmlformats.org/officeDocument/2006/relationships/hyperlink" Target="mailto:info@corporatesupplies.com.pk" TargetMode="External"/></Relationships>
</file>

<file path=xl/worksheets/_rels/sheet2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4.xml"/><Relationship Id="rId2" Type="http://schemas.openxmlformats.org/officeDocument/2006/relationships/printerSettings" Target="../printerSettings/printerSettings214.bin"/><Relationship Id="rId1" Type="http://schemas.openxmlformats.org/officeDocument/2006/relationships/hyperlink" Target="mailto:info@corporatesupplies.com.pk" TargetMode="External"/></Relationships>
</file>

<file path=xl/worksheets/_rels/sheet2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5.xml"/><Relationship Id="rId2" Type="http://schemas.openxmlformats.org/officeDocument/2006/relationships/printerSettings" Target="../printerSettings/printerSettings215.bin"/><Relationship Id="rId1" Type="http://schemas.openxmlformats.org/officeDocument/2006/relationships/hyperlink" Target="mailto:info@corporatesupplies.com.pk" TargetMode="External"/></Relationships>
</file>

<file path=xl/worksheets/_rels/sheet2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6.xml"/><Relationship Id="rId2" Type="http://schemas.openxmlformats.org/officeDocument/2006/relationships/printerSettings" Target="../printerSettings/printerSettings216.bin"/><Relationship Id="rId1" Type="http://schemas.openxmlformats.org/officeDocument/2006/relationships/hyperlink" Target="mailto:info@corporatesupplies.com.pk" TargetMode="External"/></Relationships>
</file>

<file path=xl/worksheets/_rels/sheet2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7.xml"/><Relationship Id="rId2" Type="http://schemas.openxmlformats.org/officeDocument/2006/relationships/printerSettings" Target="../printerSettings/printerSettings217.bin"/><Relationship Id="rId1" Type="http://schemas.openxmlformats.org/officeDocument/2006/relationships/hyperlink" Target="mailto:info@corporatesupplies.com.pk" TargetMode="External"/></Relationships>
</file>

<file path=xl/worksheets/_rels/sheet2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8.xml"/><Relationship Id="rId2" Type="http://schemas.openxmlformats.org/officeDocument/2006/relationships/printerSettings" Target="../printerSettings/printerSettings218.bin"/><Relationship Id="rId1" Type="http://schemas.openxmlformats.org/officeDocument/2006/relationships/hyperlink" Target="mailto:info@corporatesupplies.com.pk" TargetMode="External"/></Relationships>
</file>

<file path=xl/worksheets/_rels/sheet2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9.xml"/><Relationship Id="rId2" Type="http://schemas.openxmlformats.org/officeDocument/2006/relationships/printerSettings" Target="../printerSettings/printerSettings219.bin"/><Relationship Id="rId1" Type="http://schemas.openxmlformats.org/officeDocument/2006/relationships/hyperlink" Target="mailto:info@corporatesupplies.com.pk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info@corporatesupplies.com.pk" TargetMode="External"/></Relationships>
</file>

<file path=xl/worksheets/_rels/sheet2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0.xml"/><Relationship Id="rId2" Type="http://schemas.openxmlformats.org/officeDocument/2006/relationships/printerSettings" Target="../printerSettings/printerSettings220.bin"/><Relationship Id="rId1" Type="http://schemas.openxmlformats.org/officeDocument/2006/relationships/hyperlink" Target="mailto:info@corporatesupplies.com.pk" TargetMode="External"/></Relationships>
</file>

<file path=xl/worksheets/_rels/sheet2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1.xml"/><Relationship Id="rId2" Type="http://schemas.openxmlformats.org/officeDocument/2006/relationships/printerSettings" Target="../printerSettings/printerSettings221.bin"/><Relationship Id="rId1" Type="http://schemas.openxmlformats.org/officeDocument/2006/relationships/hyperlink" Target="mailto:info@corporatesupplies.com.pk" TargetMode="External"/></Relationships>
</file>

<file path=xl/worksheets/_rels/sheet2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2.xml"/><Relationship Id="rId2" Type="http://schemas.openxmlformats.org/officeDocument/2006/relationships/printerSettings" Target="../printerSettings/printerSettings222.bin"/><Relationship Id="rId1" Type="http://schemas.openxmlformats.org/officeDocument/2006/relationships/hyperlink" Target="mailto:info@corporatesupplies.com.pk" TargetMode="External"/></Relationships>
</file>

<file path=xl/worksheets/_rels/sheet2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3.xml"/><Relationship Id="rId2" Type="http://schemas.openxmlformats.org/officeDocument/2006/relationships/printerSettings" Target="../printerSettings/printerSettings223.bin"/><Relationship Id="rId1" Type="http://schemas.openxmlformats.org/officeDocument/2006/relationships/hyperlink" Target="mailto:info@corporatesupplies.com.pk" TargetMode="External"/></Relationships>
</file>

<file path=xl/worksheets/_rels/sheet2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4.xml"/><Relationship Id="rId2" Type="http://schemas.openxmlformats.org/officeDocument/2006/relationships/printerSettings" Target="../printerSettings/printerSettings224.bin"/><Relationship Id="rId1" Type="http://schemas.openxmlformats.org/officeDocument/2006/relationships/hyperlink" Target="mailto:info@corporatesupplies.com.pk" TargetMode="External"/></Relationships>
</file>

<file path=xl/worksheets/_rels/sheet2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5.xml"/><Relationship Id="rId2" Type="http://schemas.openxmlformats.org/officeDocument/2006/relationships/printerSettings" Target="../printerSettings/printerSettings225.bin"/><Relationship Id="rId1" Type="http://schemas.openxmlformats.org/officeDocument/2006/relationships/hyperlink" Target="mailto:info@corporatesupplies.com.pk" TargetMode="External"/></Relationships>
</file>

<file path=xl/worksheets/_rels/sheet2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6.xml"/><Relationship Id="rId2" Type="http://schemas.openxmlformats.org/officeDocument/2006/relationships/printerSettings" Target="../printerSettings/printerSettings226.bin"/><Relationship Id="rId1" Type="http://schemas.openxmlformats.org/officeDocument/2006/relationships/hyperlink" Target="mailto:info@corporatesupplies.com.pk" TargetMode="External"/></Relationships>
</file>

<file path=xl/worksheets/_rels/sheet2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7.xml"/><Relationship Id="rId2" Type="http://schemas.openxmlformats.org/officeDocument/2006/relationships/printerSettings" Target="../printerSettings/printerSettings227.bin"/><Relationship Id="rId1" Type="http://schemas.openxmlformats.org/officeDocument/2006/relationships/hyperlink" Target="mailto:info@corporatesupplies.com.pk" TargetMode="External"/></Relationships>
</file>

<file path=xl/worksheets/_rels/sheet2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8.xml"/><Relationship Id="rId2" Type="http://schemas.openxmlformats.org/officeDocument/2006/relationships/printerSettings" Target="../printerSettings/printerSettings228.bin"/><Relationship Id="rId1" Type="http://schemas.openxmlformats.org/officeDocument/2006/relationships/hyperlink" Target="mailto:info@corporatesupplies.com.pk" TargetMode="External"/></Relationships>
</file>

<file path=xl/worksheets/_rels/sheet2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9.xml"/><Relationship Id="rId2" Type="http://schemas.openxmlformats.org/officeDocument/2006/relationships/printerSettings" Target="../printerSettings/printerSettings229.bin"/><Relationship Id="rId1" Type="http://schemas.openxmlformats.org/officeDocument/2006/relationships/hyperlink" Target="mailto:info@corporatesupplies.com.pk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info@corporatesupplies.com.pk" TargetMode="External"/></Relationships>
</file>

<file path=xl/worksheets/_rels/sheet2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0.xml"/><Relationship Id="rId2" Type="http://schemas.openxmlformats.org/officeDocument/2006/relationships/printerSettings" Target="../printerSettings/printerSettings230.bin"/><Relationship Id="rId1" Type="http://schemas.openxmlformats.org/officeDocument/2006/relationships/hyperlink" Target="mailto:info@corporatesupplies.com.pk" TargetMode="External"/></Relationships>
</file>

<file path=xl/worksheets/_rels/sheet2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1.xml"/><Relationship Id="rId2" Type="http://schemas.openxmlformats.org/officeDocument/2006/relationships/printerSettings" Target="../printerSettings/printerSettings231.bin"/><Relationship Id="rId1" Type="http://schemas.openxmlformats.org/officeDocument/2006/relationships/hyperlink" Target="mailto:info@corporatesupplies.com.pk" TargetMode="External"/></Relationships>
</file>

<file path=xl/worksheets/_rels/sheet2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2.xml"/><Relationship Id="rId2" Type="http://schemas.openxmlformats.org/officeDocument/2006/relationships/printerSettings" Target="../printerSettings/printerSettings232.bin"/><Relationship Id="rId1" Type="http://schemas.openxmlformats.org/officeDocument/2006/relationships/hyperlink" Target="mailto:info@corporatesupplies.com.pk" TargetMode="External"/></Relationships>
</file>

<file path=xl/worksheets/_rels/sheet2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3.xml"/><Relationship Id="rId2" Type="http://schemas.openxmlformats.org/officeDocument/2006/relationships/printerSettings" Target="../printerSettings/printerSettings233.bin"/><Relationship Id="rId1" Type="http://schemas.openxmlformats.org/officeDocument/2006/relationships/hyperlink" Target="mailto:info@corporatesupplies.com.pk" TargetMode="External"/></Relationships>
</file>

<file path=xl/worksheets/_rels/sheet2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4.xml"/><Relationship Id="rId2" Type="http://schemas.openxmlformats.org/officeDocument/2006/relationships/printerSettings" Target="../printerSettings/printerSettings234.bin"/><Relationship Id="rId1" Type="http://schemas.openxmlformats.org/officeDocument/2006/relationships/hyperlink" Target="mailto:info@corporatesupplies.com.pk" TargetMode="External"/></Relationships>
</file>

<file path=xl/worksheets/_rels/sheet2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5.xml"/><Relationship Id="rId2" Type="http://schemas.openxmlformats.org/officeDocument/2006/relationships/printerSettings" Target="../printerSettings/printerSettings235.bin"/><Relationship Id="rId1" Type="http://schemas.openxmlformats.org/officeDocument/2006/relationships/hyperlink" Target="mailto:info@corporatesupplies.com.pk" TargetMode="External"/></Relationships>
</file>

<file path=xl/worksheets/_rels/sheet2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6.xml"/><Relationship Id="rId2" Type="http://schemas.openxmlformats.org/officeDocument/2006/relationships/printerSettings" Target="../printerSettings/printerSettings236.bin"/><Relationship Id="rId1" Type="http://schemas.openxmlformats.org/officeDocument/2006/relationships/hyperlink" Target="mailto:info@corporatesupplies.com.pk" TargetMode="External"/></Relationships>
</file>

<file path=xl/worksheets/_rels/sheet2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7.xml"/><Relationship Id="rId2" Type="http://schemas.openxmlformats.org/officeDocument/2006/relationships/printerSettings" Target="../printerSettings/printerSettings237.bin"/><Relationship Id="rId1" Type="http://schemas.openxmlformats.org/officeDocument/2006/relationships/hyperlink" Target="mailto:info@corporatesupplies.com.pk" TargetMode="External"/></Relationships>
</file>

<file path=xl/worksheets/_rels/sheet2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8.xml"/><Relationship Id="rId2" Type="http://schemas.openxmlformats.org/officeDocument/2006/relationships/printerSettings" Target="../printerSettings/printerSettings238.bin"/><Relationship Id="rId1" Type="http://schemas.openxmlformats.org/officeDocument/2006/relationships/hyperlink" Target="mailto:info@corporatesupplies.com.pk" TargetMode="External"/></Relationships>
</file>

<file path=xl/worksheets/_rels/sheet2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9.xml"/><Relationship Id="rId2" Type="http://schemas.openxmlformats.org/officeDocument/2006/relationships/printerSettings" Target="../printerSettings/printerSettings239.bin"/><Relationship Id="rId1" Type="http://schemas.openxmlformats.org/officeDocument/2006/relationships/hyperlink" Target="mailto:info@corporatesupplies.com.pk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info@corporatesupplies.com.pk" TargetMode="External"/></Relationships>
</file>

<file path=xl/worksheets/_rels/sheet2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0.xml"/><Relationship Id="rId2" Type="http://schemas.openxmlformats.org/officeDocument/2006/relationships/printerSettings" Target="../printerSettings/printerSettings240.bin"/><Relationship Id="rId1" Type="http://schemas.openxmlformats.org/officeDocument/2006/relationships/hyperlink" Target="mailto:info@corporatesupplies.com.pk" TargetMode="External"/></Relationships>
</file>

<file path=xl/worksheets/_rels/sheet2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1.xml"/><Relationship Id="rId2" Type="http://schemas.openxmlformats.org/officeDocument/2006/relationships/printerSettings" Target="../printerSettings/printerSettings241.bin"/><Relationship Id="rId1" Type="http://schemas.openxmlformats.org/officeDocument/2006/relationships/hyperlink" Target="mailto:info@corporatesupplies.com.pk" TargetMode="External"/></Relationships>
</file>

<file path=xl/worksheets/_rels/sheet2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2.xml"/><Relationship Id="rId2" Type="http://schemas.openxmlformats.org/officeDocument/2006/relationships/printerSettings" Target="../printerSettings/printerSettings242.bin"/><Relationship Id="rId1" Type="http://schemas.openxmlformats.org/officeDocument/2006/relationships/hyperlink" Target="mailto:info@corporatesupplies.com.pk" TargetMode="External"/></Relationships>
</file>

<file path=xl/worksheets/_rels/sheet2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3.xml"/><Relationship Id="rId2" Type="http://schemas.openxmlformats.org/officeDocument/2006/relationships/printerSettings" Target="../printerSettings/printerSettings243.bin"/><Relationship Id="rId1" Type="http://schemas.openxmlformats.org/officeDocument/2006/relationships/hyperlink" Target="mailto:info@corporatesupplies.com.pk" TargetMode="External"/></Relationships>
</file>

<file path=xl/worksheets/_rels/sheet2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4.xml"/><Relationship Id="rId2" Type="http://schemas.openxmlformats.org/officeDocument/2006/relationships/printerSettings" Target="../printerSettings/printerSettings244.bin"/><Relationship Id="rId1" Type="http://schemas.openxmlformats.org/officeDocument/2006/relationships/hyperlink" Target="mailto:info@corporatesupplies.com.pk" TargetMode="External"/></Relationships>
</file>

<file path=xl/worksheets/_rels/sheet2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5.xml"/><Relationship Id="rId2" Type="http://schemas.openxmlformats.org/officeDocument/2006/relationships/printerSettings" Target="../printerSettings/printerSettings245.bin"/><Relationship Id="rId1" Type="http://schemas.openxmlformats.org/officeDocument/2006/relationships/hyperlink" Target="mailto:info@corporatesupplies.com.pk" TargetMode="External"/></Relationships>
</file>

<file path=xl/worksheets/_rels/sheet2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6.xml"/><Relationship Id="rId2" Type="http://schemas.openxmlformats.org/officeDocument/2006/relationships/printerSettings" Target="../printerSettings/printerSettings246.bin"/><Relationship Id="rId1" Type="http://schemas.openxmlformats.org/officeDocument/2006/relationships/hyperlink" Target="mailto:info@corporatesupplies.com.pk" TargetMode="External"/></Relationships>
</file>

<file path=xl/worksheets/_rels/sheet2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7.xml"/><Relationship Id="rId2" Type="http://schemas.openxmlformats.org/officeDocument/2006/relationships/printerSettings" Target="../printerSettings/printerSettings247.bin"/><Relationship Id="rId1" Type="http://schemas.openxmlformats.org/officeDocument/2006/relationships/hyperlink" Target="mailto:info@corporatesupplies.com.pk" TargetMode="External"/></Relationships>
</file>

<file path=xl/worksheets/_rels/sheet2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8.xml"/><Relationship Id="rId2" Type="http://schemas.openxmlformats.org/officeDocument/2006/relationships/printerSettings" Target="../printerSettings/printerSettings248.bin"/><Relationship Id="rId1" Type="http://schemas.openxmlformats.org/officeDocument/2006/relationships/hyperlink" Target="mailto:info@corporatesupplies.com.pk" TargetMode="External"/></Relationships>
</file>

<file path=xl/worksheets/_rels/sheet2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9.xml"/><Relationship Id="rId2" Type="http://schemas.openxmlformats.org/officeDocument/2006/relationships/printerSettings" Target="../printerSettings/printerSettings249.bin"/><Relationship Id="rId1" Type="http://schemas.openxmlformats.org/officeDocument/2006/relationships/hyperlink" Target="mailto:info@corporatesupplies.com.pk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info@corporatesupplies.com.pk" TargetMode="External"/></Relationships>
</file>

<file path=xl/worksheets/_rels/sheet2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0.xml"/><Relationship Id="rId2" Type="http://schemas.openxmlformats.org/officeDocument/2006/relationships/printerSettings" Target="../printerSettings/printerSettings250.bin"/><Relationship Id="rId1" Type="http://schemas.openxmlformats.org/officeDocument/2006/relationships/hyperlink" Target="mailto:info@corporatesupplies.com.pk" TargetMode="External"/></Relationships>
</file>

<file path=xl/worksheets/_rels/sheet2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1.xml"/><Relationship Id="rId2" Type="http://schemas.openxmlformats.org/officeDocument/2006/relationships/printerSettings" Target="../printerSettings/printerSettings251.bin"/><Relationship Id="rId1" Type="http://schemas.openxmlformats.org/officeDocument/2006/relationships/hyperlink" Target="mailto:info@corporatesupplies.com.pk" TargetMode="External"/></Relationships>
</file>

<file path=xl/worksheets/_rels/sheet2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2.xml"/><Relationship Id="rId2" Type="http://schemas.openxmlformats.org/officeDocument/2006/relationships/printerSettings" Target="../printerSettings/printerSettings252.bin"/><Relationship Id="rId1" Type="http://schemas.openxmlformats.org/officeDocument/2006/relationships/hyperlink" Target="mailto:info@corporatesupplies.com.pk" TargetMode="External"/></Relationships>
</file>

<file path=xl/worksheets/_rels/sheet2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3.xml"/><Relationship Id="rId2" Type="http://schemas.openxmlformats.org/officeDocument/2006/relationships/printerSettings" Target="../printerSettings/printerSettings253.bin"/><Relationship Id="rId1" Type="http://schemas.openxmlformats.org/officeDocument/2006/relationships/hyperlink" Target="mailto:info@corporatesupplies.com.pk" TargetMode="External"/></Relationships>
</file>

<file path=xl/worksheets/_rels/sheet2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4.xml"/><Relationship Id="rId2" Type="http://schemas.openxmlformats.org/officeDocument/2006/relationships/printerSettings" Target="../printerSettings/printerSettings254.bin"/><Relationship Id="rId1" Type="http://schemas.openxmlformats.org/officeDocument/2006/relationships/hyperlink" Target="mailto:info@corporatesupplies.com.pk" TargetMode="External"/></Relationships>
</file>

<file path=xl/worksheets/_rels/sheet2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5.xml"/><Relationship Id="rId2" Type="http://schemas.openxmlformats.org/officeDocument/2006/relationships/printerSettings" Target="../printerSettings/printerSettings255.bin"/><Relationship Id="rId1" Type="http://schemas.openxmlformats.org/officeDocument/2006/relationships/hyperlink" Target="mailto:info@corporatesupplies.com.pk" TargetMode="External"/></Relationships>
</file>

<file path=xl/worksheets/_rels/sheet2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6.xml"/><Relationship Id="rId2" Type="http://schemas.openxmlformats.org/officeDocument/2006/relationships/printerSettings" Target="../printerSettings/printerSettings256.bin"/><Relationship Id="rId1" Type="http://schemas.openxmlformats.org/officeDocument/2006/relationships/hyperlink" Target="mailto:info@corporatesupplies.com.pk" TargetMode="External"/></Relationships>
</file>

<file path=xl/worksheets/_rels/sheet2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7.xml"/><Relationship Id="rId2" Type="http://schemas.openxmlformats.org/officeDocument/2006/relationships/printerSettings" Target="../printerSettings/printerSettings257.bin"/><Relationship Id="rId1" Type="http://schemas.openxmlformats.org/officeDocument/2006/relationships/hyperlink" Target="mailto:info@corporatesupplies.com.pk" TargetMode="External"/></Relationships>
</file>

<file path=xl/worksheets/_rels/sheet2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8.xml"/><Relationship Id="rId2" Type="http://schemas.openxmlformats.org/officeDocument/2006/relationships/printerSettings" Target="../printerSettings/printerSettings258.bin"/><Relationship Id="rId1" Type="http://schemas.openxmlformats.org/officeDocument/2006/relationships/hyperlink" Target="mailto:info@corporatesupplies.com.pk" TargetMode="External"/></Relationships>
</file>

<file path=xl/worksheets/_rels/sheet2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9.xml"/><Relationship Id="rId2" Type="http://schemas.openxmlformats.org/officeDocument/2006/relationships/printerSettings" Target="../printerSettings/printerSettings259.bin"/><Relationship Id="rId1" Type="http://schemas.openxmlformats.org/officeDocument/2006/relationships/hyperlink" Target="mailto:info@corporatesupplies.com.pk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info@corporatesupplies.com.pk" TargetMode="External"/></Relationships>
</file>

<file path=xl/worksheets/_rels/sheet2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0.xml"/><Relationship Id="rId2" Type="http://schemas.openxmlformats.org/officeDocument/2006/relationships/printerSettings" Target="../printerSettings/printerSettings260.bin"/><Relationship Id="rId1" Type="http://schemas.openxmlformats.org/officeDocument/2006/relationships/hyperlink" Target="mailto:info@corporatesupplies.com.pk" TargetMode="External"/></Relationships>
</file>

<file path=xl/worksheets/_rels/sheet2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1.xml"/><Relationship Id="rId2" Type="http://schemas.openxmlformats.org/officeDocument/2006/relationships/printerSettings" Target="../printerSettings/printerSettings261.bin"/><Relationship Id="rId1" Type="http://schemas.openxmlformats.org/officeDocument/2006/relationships/hyperlink" Target="mailto:info@corporatesupplies.com.pk" TargetMode="External"/></Relationships>
</file>

<file path=xl/worksheets/_rels/sheet2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2.xml"/><Relationship Id="rId2" Type="http://schemas.openxmlformats.org/officeDocument/2006/relationships/printerSettings" Target="../printerSettings/printerSettings262.bin"/><Relationship Id="rId1" Type="http://schemas.openxmlformats.org/officeDocument/2006/relationships/hyperlink" Target="mailto:info@corporatesupplies.com.pk" TargetMode="External"/></Relationships>
</file>

<file path=xl/worksheets/_rels/sheet2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3.xml"/><Relationship Id="rId2" Type="http://schemas.openxmlformats.org/officeDocument/2006/relationships/printerSettings" Target="../printerSettings/printerSettings263.bin"/><Relationship Id="rId1" Type="http://schemas.openxmlformats.org/officeDocument/2006/relationships/hyperlink" Target="mailto:info@corporatesupplies.com.pk" TargetMode="External"/></Relationships>
</file>

<file path=xl/worksheets/_rels/sheet2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4.xml"/><Relationship Id="rId2" Type="http://schemas.openxmlformats.org/officeDocument/2006/relationships/printerSettings" Target="../printerSettings/printerSettings264.bin"/><Relationship Id="rId1" Type="http://schemas.openxmlformats.org/officeDocument/2006/relationships/hyperlink" Target="mailto:info@corporatesupplies.com.pk" TargetMode="External"/></Relationships>
</file>

<file path=xl/worksheets/_rels/sheet2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5.xml"/><Relationship Id="rId2" Type="http://schemas.openxmlformats.org/officeDocument/2006/relationships/printerSettings" Target="../printerSettings/printerSettings265.bin"/><Relationship Id="rId1" Type="http://schemas.openxmlformats.org/officeDocument/2006/relationships/hyperlink" Target="mailto:info@corporatesupplies.com.pk" TargetMode="External"/></Relationships>
</file>

<file path=xl/worksheets/_rels/sheet2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6.xml"/><Relationship Id="rId2" Type="http://schemas.openxmlformats.org/officeDocument/2006/relationships/printerSettings" Target="../printerSettings/printerSettings266.bin"/><Relationship Id="rId1" Type="http://schemas.openxmlformats.org/officeDocument/2006/relationships/hyperlink" Target="mailto:info@corporatesupplies.com.pk" TargetMode="External"/></Relationships>
</file>

<file path=xl/worksheets/_rels/sheet2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7.xml"/><Relationship Id="rId2" Type="http://schemas.openxmlformats.org/officeDocument/2006/relationships/printerSettings" Target="../printerSettings/printerSettings267.bin"/><Relationship Id="rId1" Type="http://schemas.openxmlformats.org/officeDocument/2006/relationships/hyperlink" Target="mailto:info@corporatesupplies.com.pk" TargetMode="External"/></Relationships>
</file>

<file path=xl/worksheets/_rels/sheet2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8.xml"/><Relationship Id="rId2" Type="http://schemas.openxmlformats.org/officeDocument/2006/relationships/printerSettings" Target="../printerSettings/printerSettings268.bin"/><Relationship Id="rId1" Type="http://schemas.openxmlformats.org/officeDocument/2006/relationships/hyperlink" Target="mailto:info@corporatesupplies.com.pk" TargetMode="External"/></Relationships>
</file>

<file path=xl/worksheets/_rels/sheet2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9.xml"/><Relationship Id="rId2" Type="http://schemas.openxmlformats.org/officeDocument/2006/relationships/printerSettings" Target="../printerSettings/printerSettings269.bin"/><Relationship Id="rId1" Type="http://schemas.openxmlformats.org/officeDocument/2006/relationships/hyperlink" Target="mailto:info@corporatesupplies.com.pk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info@corporatesupplies.com.pk" TargetMode="External"/></Relationships>
</file>

<file path=xl/worksheets/_rels/sheet2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0.xml"/><Relationship Id="rId2" Type="http://schemas.openxmlformats.org/officeDocument/2006/relationships/printerSettings" Target="../printerSettings/printerSettings270.bin"/><Relationship Id="rId1" Type="http://schemas.openxmlformats.org/officeDocument/2006/relationships/hyperlink" Target="mailto:info@corporatesupplies.com.pk" TargetMode="External"/></Relationships>
</file>

<file path=xl/worksheets/_rels/sheet2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1.xml"/><Relationship Id="rId2" Type="http://schemas.openxmlformats.org/officeDocument/2006/relationships/printerSettings" Target="../printerSettings/printerSettings271.bin"/><Relationship Id="rId1" Type="http://schemas.openxmlformats.org/officeDocument/2006/relationships/hyperlink" Target="mailto:info@corporatesupplies.com.pk" TargetMode="External"/></Relationships>
</file>

<file path=xl/worksheets/_rels/sheet2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2.xml"/><Relationship Id="rId2" Type="http://schemas.openxmlformats.org/officeDocument/2006/relationships/printerSettings" Target="../printerSettings/printerSettings272.bin"/><Relationship Id="rId1" Type="http://schemas.openxmlformats.org/officeDocument/2006/relationships/hyperlink" Target="mailto:info@corporatesupplies.com.pk" TargetMode="External"/></Relationships>
</file>

<file path=xl/worksheets/_rels/sheet2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3.xml"/><Relationship Id="rId2" Type="http://schemas.openxmlformats.org/officeDocument/2006/relationships/printerSettings" Target="../printerSettings/printerSettings273.bin"/><Relationship Id="rId1" Type="http://schemas.openxmlformats.org/officeDocument/2006/relationships/hyperlink" Target="mailto:info@corporatesupplies.com.pk" TargetMode="External"/></Relationships>
</file>

<file path=xl/worksheets/_rels/sheet2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4.xml"/><Relationship Id="rId2" Type="http://schemas.openxmlformats.org/officeDocument/2006/relationships/printerSettings" Target="../printerSettings/printerSettings274.bin"/><Relationship Id="rId1" Type="http://schemas.openxmlformats.org/officeDocument/2006/relationships/hyperlink" Target="mailto:info@corporatesupplies.com.pk" TargetMode="External"/></Relationships>
</file>

<file path=xl/worksheets/_rels/sheet2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5.xml"/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info@corporatesupplies.com.pk" TargetMode="External"/></Relationships>
</file>

<file path=xl/worksheets/_rels/sheet2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6.xml"/><Relationship Id="rId2" Type="http://schemas.openxmlformats.org/officeDocument/2006/relationships/printerSettings" Target="../printerSettings/printerSettings276.bin"/><Relationship Id="rId1" Type="http://schemas.openxmlformats.org/officeDocument/2006/relationships/hyperlink" Target="mailto:info@corporatesupplies.com.pk" TargetMode="External"/></Relationships>
</file>

<file path=xl/worksheets/_rels/sheet2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7.xml"/><Relationship Id="rId2" Type="http://schemas.openxmlformats.org/officeDocument/2006/relationships/printerSettings" Target="../printerSettings/printerSettings277.bin"/><Relationship Id="rId1" Type="http://schemas.openxmlformats.org/officeDocument/2006/relationships/hyperlink" Target="mailto:info@corporatesupplies.com.pk" TargetMode="External"/></Relationships>
</file>

<file path=xl/worksheets/_rels/sheet2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8.xml"/><Relationship Id="rId2" Type="http://schemas.openxmlformats.org/officeDocument/2006/relationships/printerSettings" Target="../printerSettings/printerSettings278.bin"/><Relationship Id="rId1" Type="http://schemas.openxmlformats.org/officeDocument/2006/relationships/hyperlink" Target="mailto:info@corporatesupplies.com.pk" TargetMode="External"/></Relationships>
</file>

<file path=xl/worksheets/_rels/sheet2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9.xml"/><Relationship Id="rId2" Type="http://schemas.openxmlformats.org/officeDocument/2006/relationships/printerSettings" Target="../printerSettings/printerSettings279.bin"/><Relationship Id="rId1" Type="http://schemas.openxmlformats.org/officeDocument/2006/relationships/hyperlink" Target="mailto:info@corporatesupplies.com.pk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info@corporatesupplies.com.pk" TargetMode="External"/></Relationships>
</file>

<file path=xl/worksheets/_rels/sheet2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0.xml"/><Relationship Id="rId2" Type="http://schemas.openxmlformats.org/officeDocument/2006/relationships/printerSettings" Target="../printerSettings/printerSettings280.bin"/><Relationship Id="rId1" Type="http://schemas.openxmlformats.org/officeDocument/2006/relationships/hyperlink" Target="mailto:info@corporatesupplies.com.pk" TargetMode="External"/></Relationships>
</file>

<file path=xl/worksheets/_rels/sheet2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1.xml"/><Relationship Id="rId2" Type="http://schemas.openxmlformats.org/officeDocument/2006/relationships/printerSettings" Target="../printerSettings/printerSettings281.bin"/><Relationship Id="rId1" Type="http://schemas.openxmlformats.org/officeDocument/2006/relationships/hyperlink" Target="mailto:info@corporatesupplies.com.pk" TargetMode="External"/></Relationships>
</file>

<file path=xl/worksheets/_rels/sheet2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2.xml"/><Relationship Id="rId2" Type="http://schemas.openxmlformats.org/officeDocument/2006/relationships/printerSettings" Target="../printerSettings/printerSettings282.bin"/><Relationship Id="rId1" Type="http://schemas.openxmlformats.org/officeDocument/2006/relationships/hyperlink" Target="mailto:info@corporatesupplies.com.pk" TargetMode="External"/></Relationships>
</file>

<file path=xl/worksheets/_rels/sheet2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3.xml"/><Relationship Id="rId2" Type="http://schemas.openxmlformats.org/officeDocument/2006/relationships/printerSettings" Target="../printerSettings/printerSettings283.bin"/><Relationship Id="rId1" Type="http://schemas.openxmlformats.org/officeDocument/2006/relationships/hyperlink" Target="mailto:info@corporatesupplies.com.pk" TargetMode="External"/></Relationships>
</file>

<file path=xl/worksheets/_rels/sheet2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4.xml"/><Relationship Id="rId2" Type="http://schemas.openxmlformats.org/officeDocument/2006/relationships/printerSettings" Target="../printerSettings/printerSettings284.bin"/><Relationship Id="rId1" Type="http://schemas.openxmlformats.org/officeDocument/2006/relationships/hyperlink" Target="mailto:info@corporatesupplies.com.pk" TargetMode="External"/></Relationships>
</file>

<file path=xl/worksheets/_rels/sheet2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5.xml"/><Relationship Id="rId2" Type="http://schemas.openxmlformats.org/officeDocument/2006/relationships/printerSettings" Target="../printerSettings/printerSettings285.bin"/><Relationship Id="rId1" Type="http://schemas.openxmlformats.org/officeDocument/2006/relationships/hyperlink" Target="mailto:info@corporatesupplies.com.pk" TargetMode="External"/></Relationships>
</file>

<file path=xl/worksheets/_rels/sheet2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6.xml"/><Relationship Id="rId2" Type="http://schemas.openxmlformats.org/officeDocument/2006/relationships/printerSettings" Target="../printerSettings/printerSettings286.bin"/><Relationship Id="rId1" Type="http://schemas.openxmlformats.org/officeDocument/2006/relationships/hyperlink" Target="mailto:info@corporatesupplies.com.pk" TargetMode="External"/></Relationships>
</file>

<file path=xl/worksheets/_rels/sheet2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7.xml"/><Relationship Id="rId2" Type="http://schemas.openxmlformats.org/officeDocument/2006/relationships/printerSettings" Target="../printerSettings/printerSettings287.bin"/><Relationship Id="rId1" Type="http://schemas.openxmlformats.org/officeDocument/2006/relationships/hyperlink" Target="mailto:info@corporatesupplies.com.pk" TargetMode="External"/></Relationships>
</file>

<file path=xl/worksheets/_rels/sheet2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8.xml"/><Relationship Id="rId2" Type="http://schemas.openxmlformats.org/officeDocument/2006/relationships/printerSettings" Target="../printerSettings/printerSettings288.bin"/><Relationship Id="rId1" Type="http://schemas.openxmlformats.org/officeDocument/2006/relationships/hyperlink" Target="mailto:info@corporatesupplies.com.pk" TargetMode="External"/></Relationships>
</file>

<file path=xl/worksheets/_rels/sheet2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9.xml"/><Relationship Id="rId2" Type="http://schemas.openxmlformats.org/officeDocument/2006/relationships/printerSettings" Target="../printerSettings/printerSettings289.bin"/><Relationship Id="rId1" Type="http://schemas.openxmlformats.org/officeDocument/2006/relationships/hyperlink" Target="mailto:info@corporatesupplies.com.pk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info@corporatesupplies.com.pk" TargetMode="External"/></Relationships>
</file>

<file path=xl/worksheets/_rels/sheet2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0.xml"/><Relationship Id="rId2" Type="http://schemas.openxmlformats.org/officeDocument/2006/relationships/printerSettings" Target="../printerSettings/printerSettings290.bin"/><Relationship Id="rId1" Type="http://schemas.openxmlformats.org/officeDocument/2006/relationships/hyperlink" Target="mailto:info@corporatesupplies.com.pk" TargetMode="External"/></Relationships>
</file>

<file path=xl/worksheets/_rels/sheet29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1.xml"/><Relationship Id="rId2" Type="http://schemas.openxmlformats.org/officeDocument/2006/relationships/printerSettings" Target="../printerSettings/printerSettings291.bin"/><Relationship Id="rId1" Type="http://schemas.openxmlformats.org/officeDocument/2006/relationships/hyperlink" Target="mailto:info@corporatesupplies.com.pk" TargetMode="External"/></Relationships>
</file>

<file path=xl/worksheets/_rels/sheet29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2.xml"/><Relationship Id="rId2" Type="http://schemas.openxmlformats.org/officeDocument/2006/relationships/printerSettings" Target="../printerSettings/printerSettings292.bin"/><Relationship Id="rId1" Type="http://schemas.openxmlformats.org/officeDocument/2006/relationships/hyperlink" Target="mailto:info@corporatesupplies.com.pk" TargetMode="External"/></Relationships>
</file>

<file path=xl/worksheets/_rels/sheet2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3.xml"/><Relationship Id="rId2" Type="http://schemas.openxmlformats.org/officeDocument/2006/relationships/printerSettings" Target="../printerSettings/printerSettings293.bin"/><Relationship Id="rId1" Type="http://schemas.openxmlformats.org/officeDocument/2006/relationships/hyperlink" Target="mailto:info@corporatesupplies.com.pk" TargetMode="External"/></Relationships>
</file>

<file path=xl/worksheets/_rels/sheet2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4.xml"/><Relationship Id="rId2" Type="http://schemas.openxmlformats.org/officeDocument/2006/relationships/printerSettings" Target="../printerSettings/printerSettings294.bin"/><Relationship Id="rId1" Type="http://schemas.openxmlformats.org/officeDocument/2006/relationships/hyperlink" Target="mailto:info@corporatesupplies.com.pk" TargetMode="External"/></Relationships>
</file>

<file path=xl/worksheets/_rels/sheet2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5.xml"/><Relationship Id="rId2" Type="http://schemas.openxmlformats.org/officeDocument/2006/relationships/printerSettings" Target="../printerSettings/printerSettings295.bin"/><Relationship Id="rId1" Type="http://schemas.openxmlformats.org/officeDocument/2006/relationships/hyperlink" Target="mailto:info@corporatesupplies.com.pk" TargetMode="External"/></Relationships>
</file>

<file path=xl/worksheets/_rels/sheet2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6.xml"/><Relationship Id="rId2" Type="http://schemas.openxmlformats.org/officeDocument/2006/relationships/printerSettings" Target="../printerSettings/printerSettings296.bin"/><Relationship Id="rId1" Type="http://schemas.openxmlformats.org/officeDocument/2006/relationships/hyperlink" Target="mailto:info@corporatesupplies.com.pk" TargetMode="External"/></Relationships>
</file>

<file path=xl/worksheets/_rels/sheet2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7.xml"/><Relationship Id="rId2" Type="http://schemas.openxmlformats.org/officeDocument/2006/relationships/printerSettings" Target="../printerSettings/printerSettings297.bin"/><Relationship Id="rId1" Type="http://schemas.openxmlformats.org/officeDocument/2006/relationships/hyperlink" Target="mailto:info@corporatesupplies.com.pk" TargetMode="External"/></Relationships>
</file>

<file path=xl/worksheets/_rels/sheet2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8.xml"/><Relationship Id="rId2" Type="http://schemas.openxmlformats.org/officeDocument/2006/relationships/printerSettings" Target="../printerSettings/printerSettings298.bin"/><Relationship Id="rId1" Type="http://schemas.openxmlformats.org/officeDocument/2006/relationships/hyperlink" Target="mailto:info@corporatesupplies.com.pk" TargetMode="External"/></Relationships>
</file>

<file path=xl/worksheets/_rels/sheet2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9.xml"/><Relationship Id="rId2" Type="http://schemas.openxmlformats.org/officeDocument/2006/relationships/printerSettings" Target="../printerSettings/printerSettings299.bin"/><Relationship Id="rId1" Type="http://schemas.openxmlformats.org/officeDocument/2006/relationships/hyperlink" Target="mailto:info@corporatesupplies.com.pk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info@corporatesupplies.com.pk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info@corporatesupplies.com.pk" TargetMode="External"/></Relationships>
</file>

<file path=xl/worksheets/_rels/sheet3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0.xml"/><Relationship Id="rId2" Type="http://schemas.openxmlformats.org/officeDocument/2006/relationships/printerSettings" Target="../printerSettings/printerSettings300.bin"/><Relationship Id="rId1" Type="http://schemas.openxmlformats.org/officeDocument/2006/relationships/hyperlink" Target="mailto:info@corporatesupplies.com.pk" TargetMode="External"/></Relationships>
</file>

<file path=xl/worksheets/_rels/sheet3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1.xml"/><Relationship Id="rId2" Type="http://schemas.openxmlformats.org/officeDocument/2006/relationships/printerSettings" Target="../printerSettings/printerSettings301.bin"/><Relationship Id="rId1" Type="http://schemas.openxmlformats.org/officeDocument/2006/relationships/hyperlink" Target="mailto:info@corporatesupplies.com.pk" TargetMode="External"/></Relationships>
</file>

<file path=xl/worksheets/_rels/sheet30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2.xml"/><Relationship Id="rId2" Type="http://schemas.openxmlformats.org/officeDocument/2006/relationships/printerSettings" Target="../printerSettings/printerSettings302.bin"/><Relationship Id="rId1" Type="http://schemas.openxmlformats.org/officeDocument/2006/relationships/hyperlink" Target="mailto:info@corporatesupplies.com.pk" TargetMode="External"/></Relationships>
</file>

<file path=xl/worksheets/_rels/sheet3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3.xml"/><Relationship Id="rId2" Type="http://schemas.openxmlformats.org/officeDocument/2006/relationships/printerSettings" Target="../printerSettings/printerSettings303.bin"/><Relationship Id="rId1" Type="http://schemas.openxmlformats.org/officeDocument/2006/relationships/hyperlink" Target="mailto:info@corporatesupplies.com.pk" TargetMode="External"/></Relationships>
</file>

<file path=xl/worksheets/_rels/sheet30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4.xml"/><Relationship Id="rId2" Type="http://schemas.openxmlformats.org/officeDocument/2006/relationships/printerSettings" Target="../printerSettings/printerSettings304.bin"/><Relationship Id="rId1" Type="http://schemas.openxmlformats.org/officeDocument/2006/relationships/hyperlink" Target="mailto:info@corporatesupplies.com.pk" TargetMode="External"/></Relationships>
</file>

<file path=xl/worksheets/_rels/sheet30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5.xml"/><Relationship Id="rId2" Type="http://schemas.openxmlformats.org/officeDocument/2006/relationships/printerSettings" Target="../printerSettings/printerSettings305.bin"/><Relationship Id="rId1" Type="http://schemas.openxmlformats.org/officeDocument/2006/relationships/hyperlink" Target="mailto:info@corporatesupplies.com.pk" TargetMode="External"/></Relationships>
</file>

<file path=xl/worksheets/_rels/sheet30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6.xml"/><Relationship Id="rId2" Type="http://schemas.openxmlformats.org/officeDocument/2006/relationships/printerSettings" Target="../printerSettings/printerSettings306.bin"/><Relationship Id="rId1" Type="http://schemas.openxmlformats.org/officeDocument/2006/relationships/hyperlink" Target="mailto:info@corporatesupplies.com.pk" TargetMode="External"/></Relationships>
</file>

<file path=xl/worksheets/_rels/sheet30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7.xml"/><Relationship Id="rId2" Type="http://schemas.openxmlformats.org/officeDocument/2006/relationships/printerSettings" Target="../printerSettings/printerSettings307.bin"/><Relationship Id="rId1" Type="http://schemas.openxmlformats.org/officeDocument/2006/relationships/hyperlink" Target="mailto:info@corporatesupplies.com.pk" TargetMode="External"/></Relationships>
</file>

<file path=xl/worksheets/_rels/sheet30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8.xml"/><Relationship Id="rId2" Type="http://schemas.openxmlformats.org/officeDocument/2006/relationships/printerSettings" Target="../printerSettings/printerSettings308.bin"/><Relationship Id="rId1" Type="http://schemas.openxmlformats.org/officeDocument/2006/relationships/hyperlink" Target="mailto:info@corporatesupplies.com.pk" TargetMode="External"/></Relationships>
</file>

<file path=xl/worksheets/_rels/sheet30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9.xml"/><Relationship Id="rId2" Type="http://schemas.openxmlformats.org/officeDocument/2006/relationships/printerSettings" Target="../printerSettings/printerSettings309.bin"/><Relationship Id="rId1" Type="http://schemas.openxmlformats.org/officeDocument/2006/relationships/hyperlink" Target="mailto:info@corporatesupplies.com.pk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info@corporatesupplies.com.pk" TargetMode="External"/></Relationships>
</file>

<file path=xl/worksheets/_rels/sheet3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0.xml"/><Relationship Id="rId2" Type="http://schemas.openxmlformats.org/officeDocument/2006/relationships/printerSettings" Target="../printerSettings/printerSettings310.bin"/><Relationship Id="rId1" Type="http://schemas.openxmlformats.org/officeDocument/2006/relationships/hyperlink" Target="mailto:info@corporatesupplies.com.pk" TargetMode="External"/></Relationships>
</file>

<file path=xl/worksheets/_rels/sheet3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1.xml"/><Relationship Id="rId2" Type="http://schemas.openxmlformats.org/officeDocument/2006/relationships/printerSettings" Target="../printerSettings/printerSettings311.bin"/><Relationship Id="rId1" Type="http://schemas.openxmlformats.org/officeDocument/2006/relationships/hyperlink" Target="mailto:info@corporatesupplies.com.pk" TargetMode="External"/></Relationships>
</file>

<file path=xl/worksheets/_rels/sheet3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2.xml"/><Relationship Id="rId2" Type="http://schemas.openxmlformats.org/officeDocument/2006/relationships/printerSettings" Target="../printerSettings/printerSettings312.bin"/><Relationship Id="rId1" Type="http://schemas.openxmlformats.org/officeDocument/2006/relationships/hyperlink" Target="mailto:info@corporatesupplies.com.pk" TargetMode="External"/></Relationships>
</file>

<file path=xl/worksheets/_rels/sheet3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3.xml"/><Relationship Id="rId2" Type="http://schemas.openxmlformats.org/officeDocument/2006/relationships/printerSettings" Target="../printerSettings/printerSettings313.bin"/><Relationship Id="rId1" Type="http://schemas.openxmlformats.org/officeDocument/2006/relationships/hyperlink" Target="mailto:info@corporatesupplies.com.pk" TargetMode="External"/></Relationships>
</file>

<file path=xl/worksheets/_rels/sheet3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4.xml"/><Relationship Id="rId2" Type="http://schemas.openxmlformats.org/officeDocument/2006/relationships/printerSettings" Target="../printerSettings/printerSettings314.bin"/><Relationship Id="rId1" Type="http://schemas.openxmlformats.org/officeDocument/2006/relationships/hyperlink" Target="mailto:info@corporatesupplies.com.pk" TargetMode="External"/></Relationships>
</file>

<file path=xl/worksheets/_rels/sheet3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5.xml"/><Relationship Id="rId2" Type="http://schemas.openxmlformats.org/officeDocument/2006/relationships/printerSettings" Target="../printerSettings/printerSettings315.bin"/><Relationship Id="rId1" Type="http://schemas.openxmlformats.org/officeDocument/2006/relationships/hyperlink" Target="mailto:info@corporatesupplies.com.pk" TargetMode="External"/></Relationships>
</file>

<file path=xl/worksheets/_rels/sheet3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6.xml"/><Relationship Id="rId2" Type="http://schemas.openxmlformats.org/officeDocument/2006/relationships/printerSettings" Target="../printerSettings/printerSettings316.bin"/><Relationship Id="rId1" Type="http://schemas.openxmlformats.org/officeDocument/2006/relationships/hyperlink" Target="mailto:info@corporatesupplies.com.pk" TargetMode="External"/></Relationships>
</file>

<file path=xl/worksheets/_rels/sheet3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7.xml"/><Relationship Id="rId2" Type="http://schemas.openxmlformats.org/officeDocument/2006/relationships/printerSettings" Target="../printerSettings/printerSettings317.bin"/><Relationship Id="rId1" Type="http://schemas.openxmlformats.org/officeDocument/2006/relationships/hyperlink" Target="mailto:info@corporatesupplies.com.pk" TargetMode="External"/></Relationships>
</file>

<file path=xl/worksheets/_rels/sheet3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8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mailto:info@corporatesupplies.com.pk" TargetMode="External"/></Relationships>
</file>

<file path=xl/worksheets/_rels/sheet3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9.xml"/><Relationship Id="rId2" Type="http://schemas.openxmlformats.org/officeDocument/2006/relationships/printerSettings" Target="../printerSettings/printerSettings319.bin"/><Relationship Id="rId1" Type="http://schemas.openxmlformats.org/officeDocument/2006/relationships/hyperlink" Target="mailto:info@corporatesupplies.com.pk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info@corporatesupplies.com.pk" TargetMode="External"/></Relationships>
</file>

<file path=xl/worksheets/_rels/sheet3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0.xml"/><Relationship Id="rId2" Type="http://schemas.openxmlformats.org/officeDocument/2006/relationships/printerSettings" Target="../printerSettings/printerSettings320.bin"/><Relationship Id="rId1" Type="http://schemas.openxmlformats.org/officeDocument/2006/relationships/hyperlink" Target="mailto:info@corporatesupplies.com.pk" TargetMode="External"/></Relationships>
</file>

<file path=xl/worksheets/_rels/sheet3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1.xml"/><Relationship Id="rId2" Type="http://schemas.openxmlformats.org/officeDocument/2006/relationships/printerSettings" Target="../printerSettings/printerSettings321.bin"/><Relationship Id="rId1" Type="http://schemas.openxmlformats.org/officeDocument/2006/relationships/hyperlink" Target="mailto:info@corporatesupplies.com.pk" TargetMode="External"/></Relationships>
</file>

<file path=xl/worksheets/_rels/sheet3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2.xml"/><Relationship Id="rId2" Type="http://schemas.openxmlformats.org/officeDocument/2006/relationships/printerSettings" Target="../printerSettings/printerSettings322.bin"/><Relationship Id="rId1" Type="http://schemas.openxmlformats.org/officeDocument/2006/relationships/hyperlink" Target="mailto:info@corporatesupplies.com.pk" TargetMode="External"/></Relationships>
</file>

<file path=xl/worksheets/_rels/sheet3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3.xml"/><Relationship Id="rId2" Type="http://schemas.openxmlformats.org/officeDocument/2006/relationships/printerSettings" Target="../printerSettings/printerSettings323.bin"/><Relationship Id="rId1" Type="http://schemas.openxmlformats.org/officeDocument/2006/relationships/hyperlink" Target="mailto:info@corporatesupplies.com.pk" TargetMode="External"/></Relationships>
</file>

<file path=xl/worksheets/_rels/sheet3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4.xml"/><Relationship Id="rId2" Type="http://schemas.openxmlformats.org/officeDocument/2006/relationships/printerSettings" Target="../printerSettings/printerSettings324.bin"/><Relationship Id="rId1" Type="http://schemas.openxmlformats.org/officeDocument/2006/relationships/hyperlink" Target="mailto:info@corporatesupplies.com.pk" TargetMode="External"/></Relationships>
</file>

<file path=xl/worksheets/_rels/sheet3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5.xml"/><Relationship Id="rId2" Type="http://schemas.openxmlformats.org/officeDocument/2006/relationships/printerSettings" Target="../printerSettings/printerSettings325.bin"/><Relationship Id="rId1" Type="http://schemas.openxmlformats.org/officeDocument/2006/relationships/hyperlink" Target="mailto:info@corporatesupplies.com.pk" TargetMode="External"/></Relationships>
</file>

<file path=xl/worksheets/_rels/sheet3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6.xml"/><Relationship Id="rId2" Type="http://schemas.openxmlformats.org/officeDocument/2006/relationships/printerSettings" Target="../printerSettings/printerSettings326.bin"/><Relationship Id="rId1" Type="http://schemas.openxmlformats.org/officeDocument/2006/relationships/hyperlink" Target="mailto:info@corporatesupplies.com.pk" TargetMode="External"/></Relationships>
</file>

<file path=xl/worksheets/_rels/sheet3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7.xml"/><Relationship Id="rId2" Type="http://schemas.openxmlformats.org/officeDocument/2006/relationships/printerSettings" Target="../printerSettings/printerSettings327.bin"/><Relationship Id="rId1" Type="http://schemas.openxmlformats.org/officeDocument/2006/relationships/hyperlink" Target="mailto:info@corporatesupplies.com.pk" TargetMode="External"/></Relationships>
</file>

<file path=xl/worksheets/_rels/sheet3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8.xml"/><Relationship Id="rId2" Type="http://schemas.openxmlformats.org/officeDocument/2006/relationships/printerSettings" Target="../printerSettings/printerSettings328.bin"/><Relationship Id="rId1" Type="http://schemas.openxmlformats.org/officeDocument/2006/relationships/hyperlink" Target="mailto:info@corporatesupplies.com.pk" TargetMode="External"/></Relationships>
</file>

<file path=xl/worksheets/_rels/sheet3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9.xml"/><Relationship Id="rId2" Type="http://schemas.openxmlformats.org/officeDocument/2006/relationships/printerSettings" Target="../printerSettings/printerSettings329.bin"/><Relationship Id="rId1" Type="http://schemas.openxmlformats.org/officeDocument/2006/relationships/hyperlink" Target="mailto:info@corporatesupplies.com.pk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info@corporatesupplies.com.pk" TargetMode="External"/></Relationships>
</file>

<file path=xl/worksheets/_rels/sheet3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0.xml"/><Relationship Id="rId2" Type="http://schemas.openxmlformats.org/officeDocument/2006/relationships/printerSettings" Target="../printerSettings/printerSettings330.bin"/><Relationship Id="rId1" Type="http://schemas.openxmlformats.org/officeDocument/2006/relationships/hyperlink" Target="mailto:info@corporatesupplies.com.pk" TargetMode="External"/></Relationships>
</file>

<file path=xl/worksheets/_rels/sheet3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1.xml"/><Relationship Id="rId2" Type="http://schemas.openxmlformats.org/officeDocument/2006/relationships/printerSettings" Target="../printerSettings/printerSettings331.bin"/><Relationship Id="rId1" Type="http://schemas.openxmlformats.org/officeDocument/2006/relationships/hyperlink" Target="mailto:info@corporatesupplies.com.pk" TargetMode="External"/></Relationships>
</file>

<file path=xl/worksheets/_rels/sheet3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2.xml"/><Relationship Id="rId2" Type="http://schemas.openxmlformats.org/officeDocument/2006/relationships/printerSettings" Target="../printerSettings/printerSettings332.bin"/><Relationship Id="rId1" Type="http://schemas.openxmlformats.org/officeDocument/2006/relationships/hyperlink" Target="mailto:info@corporatesupplies.com.pk" TargetMode="External"/></Relationships>
</file>

<file path=xl/worksheets/_rels/sheet3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3.xml"/><Relationship Id="rId2" Type="http://schemas.openxmlformats.org/officeDocument/2006/relationships/printerSettings" Target="../printerSettings/printerSettings333.bin"/><Relationship Id="rId1" Type="http://schemas.openxmlformats.org/officeDocument/2006/relationships/hyperlink" Target="mailto:info@corporatesupplies.com.pk" TargetMode="External"/></Relationships>
</file>

<file path=xl/worksheets/_rels/sheet3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4.xml"/><Relationship Id="rId2" Type="http://schemas.openxmlformats.org/officeDocument/2006/relationships/printerSettings" Target="../printerSettings/printerSettings334.bin"/><Relationship Id="rId1" Type="http://schemas.openxmlformats.org/officeDocument/2006/relationships/hyperlink" Target="mailto:info@corporatesupplies.com.pk" TargetMode="External"/></Relationships>
</file>

<file path=xl/worksheets/_rels/sheet3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5.xml"/><Relationship Id="rId2" Type="http://schemas.openxmlformats.org/officeDocument/2006/relationships/printerSettings" Target="../printerSettings/printerSettings335.bin"/><Relationship Id="rId1" Type="http://schemas.openxmlformats.org/officeDocument/2006/relationships/hyperlink" Target="mailto:info@corporatesupplies.com.pk" TargetMode="External"/></Relationships>
</file>

<file path=xl/worksheets/_rels/sheet3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6.xml"/><Relationship Id="rId2" Type="http://schemas.openxmlformats.org/officeDocument/2006/relationships/printerSettings" Target="../printerSettings/printerSettings336.bin"/><Relationship Id="rId1" Type="http://schemas.openxmlformats.org/officeDocument/2006/relationships/hyperlink" Target="mailto:info@corporatesupplies.com.pk" TargetMode="External"/></Relationships>
</file>

<file path=xl/worksheets/_rels/sheet3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7.xml"/><Relationship Id="rId2" Type="http://schemas.openxmlformats.org/officeDocument/2006/relationships/printerSettings" Target="../printerSettings/printerSettings337.bin"/><Relationship Id="rId1" Type="http://schemas.openxmlformats.org/officeDocument/2006/relationships/hyperlink" Target="mailto:info@corporatesupplies.com.pk" TargetMode="External"/></Relationships>
</file>

<file path=xl/worksheets/_rels/sheet3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8.xml"/><Relationship Id="rId2" Type="http://schemas.openxmlformats.org/officeDocument/2006/relationships/printerSettings" Target="../printerSettings/printerSettings338.bin"/><Relationship Id="rId1" Type="http://schemas.openxmlformats.org/officeDocument/2006/relationships/hyperlink" Target="mailto:info@corporatesupplies.com.pk" TargetMode="External"/></Relationships>
</file>

<file path=xl/worksheets/_rels/sheet3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9.xml"/><Relationship Id="rId2" Type="http://schemas.openxmlformats.org/officeDocument/2006/relationships/printerSettings" Target="../printerSettings/printerSettings339.bin"/><Relationship Id="rId1" Type="http://schemas.openxmlformats.org/officeDocument/2006/relationships/hyperlink" Target="mailto:info@corporatesupplies.com.pk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info@corporatesupplies.com.pk" TargetMode="External"/></Relationships>
</file>

<file path=xl/worksheets/_rels/sheet3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0.xml"/><Relationship Id="rId2" Type="http://schemas.openxmlformats.org/officeDocument/2006/relationships/printerSettings" Target="../printerSettings/printerSettings340.bin"/><Relationship Id="rId1" Type="http://schemas.openxmlformats.org/officeDocument/2006/relationships/hyperlink" Target="mailto:info@corporatesupplies.com.pk" TargetMode="External"/></Relationships>
</file>

<file path=xl/worksheets/_rels/sheet3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1.xml"/><Relationship Id="rId2" Type="http://schemas.openxmlformats.org/officeDocument/2006/relationships/printerSettings" Target="../printerSettings/printerSettings341.bin"/><Relationship Id="rId1" Type="http://schemas.openxmlformats.org/officeDocument/2006/relationships/hyperlink" Target="mailto:info@corporatesupplies.com.pk" TargetMode="External"/></Relationships>
</file>

<file path=xl/worksheets/_rels/sheet3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2.xml"/><Relationship Id="rId2" Type="http://schemas.openxmlformats.org/officeDocument/2006/relationships/printerSettings" Target="../printerSettings/printerSettings342.bin"/><Relationship Id="rId1" Type="http://schemas.openxmlformats.org/officeDocument/2006/relationships/hyperlink" Target="mailto:info@corporatesupplies.com.pk" TargetMode="External"/></Relationships>
</file>

<file path=xl/worksheets/_rels/sheet3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3.xml"/><Relationship Id="rId2" Type="http://schemas.openxmlformats.org/officeDocument/2006/relationships/printerSettings" Target="../printerSettings/printerSettings343.bin"/><Relationship Id="rId1" Type="http://schemas.openxmlformats.org/officeDocument/2006/relationships/hyperlink" Target="mailto:info@corporatesupplies.com.pk" TargetMode="External"/></Relationships>
</file>

<file path=xl/worksheets/_rels/sheet3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4.xml"/><Relationship Id="rId2" Type="http://schemas.openxmlformats.org/officeDocument/2006/relationships/printerSettings" Target="../printerSettings/printerSettings344.bin"/><Relationship Id="rId1" Type="http://schemas.openxmlformats.org/officeDocument/2006/relationships/hyperlink" Target="mailto:info@corporatesupplies.com.pk" TargetMode="External"/></Relationships>
</file>

<file path=xl/worksheets/_rels/sheet3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5.xml"/><Relationship Id="rId2" Type="http://schemas.openxmlformats.org/officeDocument/2006/relationships/printerSettings" Target="../printerSettings/printerSettings345.bin"/><Relationship Id="rId1" Type="http://schemas.openxmlformats.org/officeDocument/2006/relationships/hyperlink" Target="mailto:info@corporatesupplies.com.pk" TargetMode="External"/></Relationships>
</file>

<file path=xl/worksheets/_rels/sheet3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6.xml"/><Relationship Id="rId2" Type="http://schemas.openxmlformats.org/officeDocument/2006/relationships/printerSettings" Target="../printerSettings/printerSettings346.bin"/><Relationship Id="rId1" Type="http://schemas.openxmlformats.org/officeDocument/2006/relationships/hyperlink" Target="mailto:info@corporatesupplies.com.pk" TargetMode="External"/></Relationships>
</file>

<file path=xl/worksheets/_rels/sheet3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7.xml"/><Relationship Id="rId2" Type="http://schemas.openxmlformats.org/officeDocument/2006/relationships/printerSettings" Target="../printerSettings/printerSettings347.bin"/><Relationship Id="rId1" Type="http://schemas.openxmlformats.org/officeDocument/2006/relationships/hyperlink" Target="mailto:info@corporatesupplies.com.pk" TargetMode="External"/></Relationships>
</file>

<file path=xl/worksheets/_rels/sheet3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8.xml"/><Relationship Id="rId2" Type="http://schemas.openxmlformats.org/officeDocument/2006/relationships/printerSettings" Target="../printerSettings/printerSettings348.bin"/><Relationship Id="rId1" Type="http://schemas.openxmlformats.org/officeDocument/2006/relationships/hyperlink" Target="mailto:info@corporatesupplies.com.pk" TargetMode="External"/></Relationships>
</file>

<file path=xl/worksheets/_rels/sheet3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9.xml"/><Relationship Id="rId2" Type="http://schemas.openxmlformats.org/officeDocument/2006/relationships/printerSettings" Target="../printerSettings/printerSettings349.bin"/><Relationship Id="rId1" Type="http://schemas.openxmlformats.org/officeDocument/2006/relationships/hyperlink" Target="mailto:info@corporatesupplies.com.pk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info@corporatesupplies.com.pk" TargetMode="External"/></Relationships>
</file>

<file path=xl/worksheets/_rels/sheet3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0.xml"/><Relationship Id="rId2" Type="http://schemas.openxmlformats.org/officeDocument/2006/relationships/printerSettings" Target="../printerSettings/printerSettings350.bin"/><Relationship Id="rId1" Type="http://schemas.openxmlformats.org/officeDocument/2006/relationships/hyperlink" Target="mailto:info@corporatesupplies.com.pk" TargetMode="External"/></Relationships>
</file>

<file path=xl/worksheets/_rels/sheet3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1.xml"/><Relationship Id="rId2" Type="http://schemas.openxmlformats.org/officeDocument/2006/relationships/printerSettings" Target="../printerSettings/printerSettings351.bin"/><Relationship Id="rId1" Type="http://schemas.openxmlformats.org/officeDocument/2006/relationships/hyperlink" Target="mailto:info@corporatesupplies.com.pk" TargetMode="External"/></Relationships>
</file>

<file path=xl/worksheets/_rels/sheet3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2.xml"/><Relationship Id="rId2" Type="http://schemas.openxmlformats.org/officeDocument/2006/relationships/printerSettings" Target="../printerSettings/printerSettings352.bin"/><Relationship Id="rId1" Type="http://schemas.openxmlformats.org/officeDocument/2006/relationships/hyperlink" Target="mailto:info@corporatesupplies.com.pk" TargetMode="External"/></Relationships>
</file>

<file path=xl/worksheets/_rels/sheet3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3.xml"/><Relationship Id="rId2" Type="http://schemas.openxmlformats.org/officeDocument/2006/relationships/printerSettings" Target="../printerSettings/printerSettings353.bin"/><Relationship Id="rId1" Type="http://schemas.openxmlformats.org/officeDocument/2006/relationships/hyperlink" Target="mailto:info@corporatesupplies.com.pk" TargetMode="External"/></Relationships>
</file>

<file path=xl/worksheets/_rels/sheet3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4.xml"/><Relationship Id="rId2" Type="http://schemas.openxmlformats.org/officeDocument/2006/relationships/printerSettings" Target="../printerSettings/printerSettings354.bin"/><Relationship Id="rId1" Type="http://schemas.openxmlformats.org/officeDocument/2006/relationships/hyperlink" Target="mailto:info@corporatesupplies.com.pk" TargetMode="External"/></Relationships>
</file>

<file path=xl/worksheets/_rels/sheet3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5.xml"/><Relationship Id="rId2" Type="http://schemas.openxmlformats.org/officeDocument/2006/relationships/printerSettings" Target="../printerSettings/printerSettings355.bin"/><Relationship Id="rId1" Type="http://schemas.openxmlformats.org/officeDocument/2006/relationships/hyperlink" Target="mailto:info@corporatesupplies.com.pk" TargetMode="External"/></Relationships>
</file>

<file path=xl/worksheets/_rels/sheet3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6.xml"/><Relationship Id="rId2" Type="http://schemas.openxmlformats.org/officeDocument/2006/relationships/printerSettings" Target="../printerSettings/printerSettings356.bin"/><Relationship Id="rId1" Type="http://schemas.openxmlformats.org/officeDocument/2006/relationships/hyperlink" Target="mailto:info@corporatesupplies.com.pk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info@corporatesupplies.com.pk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info@corporatesupplies.com.pk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info@corporatesupplies.com.pk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info@corporatesupplies.com.pk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info@corporatesupplies.com.pk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info@corporatesupplies.com.pk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info@corporatesupplies.com.pk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info@corporatesupplies.com.pk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info@corporatesupplies.com.pk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info@corporatesupplies.com.pk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info@corporatesupplies.com.pk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info@corporatesupplies.com.pk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info@corporatesupplies.com.pk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info@corporatesupplies.com.pk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info@corporatesupplies.com.pk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nfo@corporatesupplies.com.pk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info@corporatesupplies.com.pk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info@corporatesupplies.com.pk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info@corporatesupplies.com.pk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info@corporatesupplies.com.pk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info@corporatesupplies.com.pk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info@corporatesupplies.com.pk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info@corporatesupplies.com.pk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info@corporatesupplies.com.pk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mailto:info@corporatesupplies.com.pk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info@corporatesupplies.com.pk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info@corporatesupplies.com.pk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info@corporatesupplies.com.pk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info@corporatesupplies.com.pk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info@corporatesupplies.com.pk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info@corporatesupplies.com.pk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mailto:info@corporatesupplies.com.pk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65.bin"/><Relationship Id="rId1" Type="http://schemas.openxmlformats.org/officeDocument/2006/relationships/hyperlink" Target="mailto:info@corporatesupplies.com.pk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66.bin"/><Relationship Id="rId1" Type="http://schemas.openxmlformats.org/officeDocument/2006/relationships/hyperlink" Target="mailto:info@corporatesupplies.com.pk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67.bin"/><Relationship Id="rId1" Type="http://schemas.openxmlformats.org/officeDocument/2006/relationships/hyperlink" Target="mailto:info@corporatesupplies.com.pk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mailto:info@corporatesupplies.com.pk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info@corporatesupplies.com.pk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info@corporatesupplies.com.pk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mailto:info@corporatesupplies.com.pk" TargetMode="Externa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1.xml"/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mailto:info@corporatesupplies.com.pk" TargetMode="Externa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2.xml"/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mailto:info@corporatesupplies.com.pk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3.xml"/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mailto:info@corporatesupplies.com.pk" TargetMode="Externa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4.xml"/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mailto:info@corporatesupplies.com.pk" TargetMode="Externa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5.xml"/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mailto:info@corporatesupplies.com.pk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6.xml"/><Relationship Id="rId2" Type="http://schemas.openxmlformats.org/officeDocument/2006/relationships/printerSettings" Target="../printerSettings/printerSettings76.bin"/><Relationship Id="rId1" Type="http://schemas.openxmlformats.org/officeDocument/2006/relationships/hyperlink" Target="mailto:info@corporatesupplies.com.pk" TargetMode="Externa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7.xml"/><Relationship Id="rId2" Type="http://schemas.openxmlformats.org/officeDocument/2006/relationships/printerSettings" Target="../printerSettings/printerSettings77.bin"/><Relationship Id="rId1" Type="http://schemas.openxmlformats.org/officeDocument/2006/relationships/hyperlink" Target="mailto:info@corporatesupplies.com.pk" TargetMode="Externa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8.xml"/><Relationship Id="rId2" Type="http://schemas.openxmlformats.org/officeDocument/2006/relationships/printerSettings" Target="../printerSettings/printerSettings78.bin"/><Relationship Id="rId1" Type="http://schemas.openxmlformats.org/officeDocument/2006/relationships/hyperlink" Target="mailto:info@corporatesupplies.com.pk" TargetMode="Externa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9.xml"/><Relationship Id="rId2" Type="http://schemas.openxmlformats.org/officeDocument/2006/relationships/printerSettings" Target="../printerSettings/printerSettings79.bin"/><Relationship Id="rId1" Type="http://schemas.openxmlformats.org/officeDocument/2006/relationships/hyperlink" Target="mailto:info@corporatesupplies.com.pk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info@corporatesupplies.com.pk" TargetMode="Externa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0.xml"/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mailto:info@corporatesupplies.com.pk" TargetMode="Externa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1.xml"/><Relationship Id="rId2" Type="http://schemas.openxmlformats.org/officeDocument/2006/relationships/printerSettings" Target="../printerSettings/printerSettings81.bin"/><Relationship Id="rId1" Type="http://schemas.openxmlformats.org/officeDocument/2006/relationships/hyperlink" Target="mailto:info@corporatesupplies.com.pk" TargetMode="Externa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2.xml"/><Relationship Id="rId2" Type="http://schemas.openxmlformats.org/officeDocument/2006/relationships/printerSettings" Target="../printerSettings/printerSettings82.bin"/><Relationship Id="rId1" Type="http://schemas.openxmlformats.org/officeDocument/2006/relationships/hyperlink" Target="mailto:info@corporatesupplies.com.pk" TargetMode="Externa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3.xml"/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mailto:info@corporatesupplies.com.pk" TargetMode="Externa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4.xml"/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info@corporatesupplies.com.pk" TargetMode="Externa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5.xml"/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info@corporatesupplies.com.pk" TargetMode="Externa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6.xml"/><Relationship Id="rId2" Type="http://schemas.openxmlformats.org/officeDocument/2006/relationships/printerSettings" Target="../printerSettings/printerSettings86.bin"/><Relationship Id="rId1" Type="http://schemas.openxmlformats.org/officeDocument/2006/relationships/hyperlink" Target="mailto:info@corporatesupplies.com.pk" TargetMode="Externa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7.xml"/><Relationship Id="rId2" Type="http://schemas.openxmlformats.org/officeDocument/2006/relationships/printerSettings" Target="../printerSettings/printerSettings87.bin"/><Relationship Id="rId1" Type="http://schemas.openxmlformats.org/officeDocument/2006/relationships/hyperlink" Target="mailto:info@corporatesupplies.com.pk" TargetMode="Externa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8.xml"/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info@corporatesupplies.com.pk" TargetMode="Externa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9.xml"/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info@corporatesupplies.com.pk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info@corporatesupplies.com.pk" TargetMode="Externa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0.xml"/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info@corporatesupplies.com.pk" TargetMode="Externa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1.xml"/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mailto:info@corporatesupplies.com.pk" TargetMode="Externa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2.xml"/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mailto:info@corporatesupplies.com.pk" TargetMode="Externa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3.xml"/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info@corporatesupplies.com.pk" TargetMode="Externa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4.xml"/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mailto:info@corporatesupplies.com.pk" TargetMode="Externa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5.xml"/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mailto:info@corporatesupplies.com.pk" TargetMode="Externa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6.xml"/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info@corporatesupplies.com.pk" TargetMode="Externa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7.xml"/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mailto:info@corporatesupplies.com.pk" TargetMode="Externa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8.xml"/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mailto:info@corporatesupplies.com.pk" TargetMode="Externa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9.xml"/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mailto:info@corporatesupplies.com.p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43ABC-E0CE-4383-9B43-24A3013CBA6C}">
  <dimension ref="A1:R26"/>
  <sheetViews>
    <sheetView tabSelected="1" workbookViewId="0">
      <selection activeCell="B16" sqref="B16:C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2312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2313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2355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2354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2361</v>
      </c>
      <c r="J9" s="188"/>
    </row>
    <row r="10" spans="1:14" x14ac:dyDescent="0.25">
      <c r="B10" t="s">
        <v>9</v>
      </c>
      <c r="C10" s="139" t="s">
        <v>2356</v>
      </c>
      <c r="D10" s="10"/>
      <c r="E10" s="10"/>
      <c r="F10" s="10"/>
    </row>
    <row r="11" spans="1:14" x14ac:dyDescent="0.25">
      <c r="B11" t="s">
        <v>11</v>
      </c>
      <c r="C11" s="132" t="s">
        <v>2357</v>
      </c>
      <c r="D11" s="11"/>
      <c r="E11" s="11"/>
      <c r="F11" s="11"/>
    </row>
    <row r="12" spans="1:14" x14ac:dyDescent="0.25">
      <c r="A12" s="12"/>
      <c r="B12" s="13"/>
      <c r="C12" s="140" t="s">
        <v>2358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189" t="s">
        <v>14</v>
      </c>
      <c r="C15" s="189"/>
      <c r="D15" s="76" t="s">
        <v>15</v>
      </c>
      <c r="E15" s="76" t="s">
        <v>16</v>
      </c>
      <c r="F15" s="76" t="s">
        <v>2353</v>
      </c>
      <c r="G15" s="76" t="s">
        <v>1083</v>
      </c>
      <c r="H15" s="76" t="s">
        <v>21</v>
      </c>
      <c r="I15" s="190" t="s">
        <v>22</v>
      </c>
      <c r="J15" s="191"/>
    </row>
    <row r="16" spans="1:14" s="21" customFormat="1" ht="30" customHeight="1" x14ac:dyDescent="0.25">
      <c r="A16" s="53">
        <v>1</v>
      </c>
      <c r="B16" s="180" t="s">
        <v>2359</v>
      </c>
      <c r="C16" s="180"/>
      <c r="D16" s="53" t="s">
        <v>23</v>
      </c>
      <c r="E16" s="79">
        <v>1</v>
      </c>
      <c r="F16" s="56">
        <v>78058</v>
      </c>
      <c r="G16" s="149">
        <v>0</v>
      </c>
      <c r="H16" s="56">
        <f>(F16+G16)*E16</f>
        <v>78058</v>
      </c>
      <c r="I16" s="178"/>
      <c r="J16" s="179"/>
      <c r="N16" s="66"/>
    </row>
    <row r="17" spans="1:18" s="21" customFormat="1" ht="15.75" customHeight="1" x14ac:dyDescent="0.25">
      <c r="A17" s="53"/>
      <c r="B17" s="181"/>
      <c r="C17" s="182"/>
      <c r="D17" s="79"/>
      <c r="E17" s="56"/>
      <c r="F17" s="56"/>
      <c r="G17" s="149"/>
      <c r="H17" s="85"/>
      <c r="I17" s="178"/>
      <c r="J17" s="179"/>
      <c r="N17" s="66"/>
    </row>
    <row r="18" spans="1:18" ht="15.75" thickBot="1" x14ac:dyDescent="0.3">
      <c r="A18" s="33"/>
      <c r="B18" s="34" t="s">
        <v>24</v>
      </c>
      <c r="C18" s="35"/>
      <c r="E18" s="62">
        <f>SUM(E16:E16)</f>
        <v>1</v>
      </c>
      <c r="F18" s="62">
        <f>SUM(F16:F16)</f>
        <v>78058</v>
      </c>
      <c r="G18" s="62">
        <f>SUM(G16:G16)</f>
        <v>0</v>
      </c>
      <c r="H18" s="62">
        <f>SUM(H16:H16)</f>
        <v>78058</v>
      </c>
      <c r="J18" s="37"/>
    </row>
    <row r="19" spans="1:18" ht="15.75" thickTop="1" x14ac:dyDescent="0.25">
      <c r="A19" s="33"/>
      <c r="B19" s="34" t="s">
        <v>2360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/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11">
    <mergeCell ref="B16:C16"/>
    <mergeCell ref="I16:J16"/>
    <mergeCell ref="B17:C17"/>
    <mergeCell ref="I17:J17"/>
    <mergeCell ref="B21:J21"/>
    <mergeCell ref="A6:J6"/>
    <mergeCell ref="I7:J7"/>
    <mergeCell ref="I8:J8"/>
    <mergeCell ref="I9:J9"/>
    <mergeCell ref="B15:C15"/>
    <mergeCell ref="I15:J15"/>
  </mergeCells>
  <hyperlinks>
    <hyperlink ref="H5" r:id="rId1" xr:uid="{B187AEEA-CCBC-4E2F-887A-0C47A631DCE3}"/>
  </hyperlinks>
  <pageMargins left="0.2" right="0.1" top="0.25" bottom="0.2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54E9D-51D4-448F-914F-BED5846061DA}">
  <dimension ref="A1:R26"/>
  <sheetViews>
    <sheetView topLeftCell="A6" workbookViewId="0">
      <selection activeCell="A20" sqref="A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2307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2306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2308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159" t="s">
        <v>13</v>
      </c>
      <c r="B15" s="160" t="s">
        <v>14</v>
      </c>
      <c r="C15" s="159" t="s">
        <v>15</v>
      </c>
      <c r="D15" s="159" t="s">
        <v>16</v>
      </c>
      <c r="E15" s="159" t="s">
        <v>17</v>
      </c>
      <c r="F15" s="159" t="s">
        <v>18</v>
      </c>
      <c r="G15" s="159" t="s">
        <v>19</v>
      </c>
      <c r="H15" s="159" t="s">
        <v>20</v>
      </c>
      <c r="I15" s="159" t="s">
        <v>21</v>
      </c>
      <c r="J15" s="160" t="s">
        <v>22</v>
      </c>
      <c r="M15" s="21" t="s">
        <v>738</v>
      </c>
    </row>
    <row r="16" spans="1:15" s="21" customFormat="1" x14ac:dyDescent="0.25">
      <c r="A16" s="161">
        <v>1</v>
      </c>
      <c r="B16" s="162" t="s">
        <v>2309</v>
      </c>
      <c r="C16" s="161" t="s">
        <v>987</v>
      </c>
      <c r="D16" s="163">
        <v>12</v>
      </c>
      <c r="E16" s="164">
        <v>540</v>
      </c>
      <c r="F16" s="165">
        <f t="shared" ref="F16:F17" si="0">D16*E16</f>
        <v>6480</v>
      </c>
      <c r="G16" s="165">
        <f>F16*0.17</f>
        <v>1101.6000000000001</v>
      </c>
      <c r="H16" s="166">
        <f>E16*1.17</f>
        <v>631.79999999999995</v>
      </c>
      <c r="I16" s="165">
        <f t="shared" ref="I16:I17" si="1">H16*D16</f>
        <v>7581.5999999999995</v>
      </c>
      <c r="J16" s="167" t="s">
        <v>1760</v>
      </c>
      <c r="M16" s="21">
        <f t="shared" ref="M16:M17" si="2">440*1.02</f>
        <v>448.8</v>
      </c>
      <c r="N16" s="66" t="e">
        <f>M16-#REF!</f>
        <v>#REF!</v>
      </c>
      <c r="O16" s="21" t="e">
        <f t="shared" ref="O16:O17" si="3">N16*D16</f>
        <v>#REF!</v>
      </c>
    </row>
    <row r="17" spans="1:18" s="21" customFormat="1" x14ac:dyDescent="0.25">
      <c r="A17" s="161"/>
      <c r="B17" s="168"/>
      <c r="C17" s="164"/>
      <c r="D17" s="169"/>
      <c r="E17" s="165"/>
      <c r="F17" s="165">
        <f t="shared" si="0"/>
        <v>0</v>
      </c>
      <c r="G17" s="165">
        <f t="shared" ref="G17" si="4">F17*0.17</f>
        <v>0</v>
      </c>
      <c r="H17" s="169">
        <f t="shared" ref="H17" si="5">E17*1.17</f>
        <v>0</v>
      </c>
      <c r="I17" s="165">
        <f t="shared" si="1"/>
        <v>0</v>
      </c>
      <c r="J17" s="170"/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ht="15.75" thickBot="1" x14ac:dyDescent="0.3">
      <c r="A18" s="171"/>
      <c r="B18" s="172" t="s">
        <v>24</v>
      </c>
      <c r="C18" s="173"/>
      <c r="D18" s="174">
        <f>SUM(D16:D17)</f>
        <v>12</v>
      </c>
      <c r="E18" s="173"/>
      <c r="F18" s="174">
        <f>SUM(F16:F17)</f>
        <v>6480</v>
      </c>
      <c r="G18" s="174">
        <f>SUM(G16:G17)</f>
        <v>1101.6000000000001</v>
      </c>
      <c r="H18" s="173"/>
      <c r="I18" s="174">
        <f>SUM(I16:I17)</f>
        <v>7581.5999999999995</v>
      </c>
      <c r="J18" s="175"/>
      <c r="M18" t="e">
        <f>#REF!/117*100</f>
        <v>#REF!</v>
      </c>
      <c r="O18" t="e">
        <f>M18*1.1</f>
        <v>#REF!</v>
      </c>
    </row>
    <row r="19" spans="1:18" ht="15.75" thickTop="1" x14ac:dyDescent="0.25">
      <c r="A19" s="171"/>
      <c r="B19" s="172" t="s">
        <v>2310</v>
      </c>
      <c r="C19" s="173"/>
      <c r="D19" s="173"/>
      <c r="E19" s="173"/>
      <c r="F19" s="173"/>
      <c r="G19" s="173"/>
      <c r="H19" s="173"/>
      <c r="I19" s="173"/>
      <c r="J19" s="175"/>
    </row>
    <row r="20" spans="1:18" x14ac:dyDescent="0.25">
      <c r="A20" s="171"/>
      <c r="B20" s="176" t="s">
        <v>25</v>
      </c>
      <c r="C20" s="173"/>
      <c r="D20" s="173"/>
      <c r="E20" s="173"/>
      <c r="F20" s="173"/>
      <c r="G20" s="173"/>
      <c r="H20" s="173"/>
      <c r="I20" s="173"/>
      <c r="J20" s="175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A21" s="177"/>
      <c r="B21" s="192" t="s">
        <v>26</v>
      </c>
      <c r="C21" s="192"/>
      <c r="D21" s="192"/>
      <c r="E21" s="192"/>
      <c r="F21" s="192"/>
      <c r="G21" s="192"/>
      <c r="H21" s="192"/>
      <c r="I21" s="192"/>
      <c r="J21" s="192"/>
      <c r="P21" s="64"/>
      <c r="R21" s="65" t="e">
        <f>#REF!-#REF!</f>
        <v>#REF!</v>
      </c>
    </row>
    <row r="22" spans="1:18" x14ac:dyDescent="0.25">
      <c r="A22" s="177"/>
      <c r="B22" s="177" t="s">
        <v>634</v>
      </c>
      <c r="C22" s="177"/>
      <c r="D22" s="177"/>
      <c r="E22" s="177"/>
      <c r="F22" s="177"/>
      <c r="G22" s="177"/>
      <c r="H22" s="177"/>
      <c r="I22" s="177"/>
      <c r="J22" s="177"/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F859FA1F-5A91-4B68-8462-B618DB4DFBF9}"/>
  </hyperlinks>
  <pageMargins left="0.2" right="0.1" top="0.25" bottom="0.25" header="0.3" footer="0.3"/>
  <pageSetup paperSize="9" orientation="portrait" r:id="rId2"/>
  <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F4899-7534-4039-A957-BC40E8CF9D94}">
  <dimension ref="A1:J25"/>
  <sheetViews>
    <sheetView topLeftCell="A2" workbookViewId="0">
      <selection activeCell="C10" sqref="C10:H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1827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1832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1828</v>
      </c>
      <c r="J9" s="188"/>
    </row>
    <row r="10" spans="1:10" x14ac:dyDescent="0.25">
      <c r="B10" t="s">
        <v>9</v>
      </c>
      <c r="C10" s="10" t="s">
        <v>1692</v>
      </c>
      <c r="D10" s="10"/>
      <c r="E10" s="10"/>
      <c r="F10" s="10"/>
    </row>
    <row r="11" spans="1:10" x14ac:dyDescent="0.25">
      <c r="B11" t="s">
        <v>11</v>
      </c>
      <c r="C11" s="132" t="s">
        <v>1693</v>
      </c>
      <c r="D11" s="11"/>
      <c r="E11" s="11"/>
      <c r="F11" s="11"/>
    </row>
    <row r="12" spans="1:10" x14ac:dyDescent="0.25">
      <c r="A12" s="12"/>
      <c r="B12" s="13"/>
      <c r="C12" s="132" t="s">
        <v>1694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1830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1833</v>
      </c>
      <c r="C16" s="54" t="s">
        <v>23</v>
      </c>
      <c r="D16" s="72">
        <v>1</v>
      </c>
      <c r="E16" s="56">
        <v>4550</v>
      </c>
      <c r="F16" s="56">
        <f t="shared" ref="F16" si="0">D16*E16</f>
        <v>4550</v>
      </c>
      <c r="G16" s="56">
        <f>F16*0.17</f>
        <v>773.5</v>
      </c>
      <c r="H16" s="84">
        <f>E16*1.17</f>
        <v>5323.5</v>
      </c>
      <c r="I16" s="56">
        <f t="shared" ref="I16" si="1">H16*D16</f>
        <v>5323.5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1</v>
      </c>
      <c r="E17" s="35"/>
      <c r="F17" s="62">
        <f>SUM(F16:F16)</f>
        <v>4550</v>
      </c>
      <c r="G17" s="62">
        <f>SUM(G16:G16)</f>
        <v>773.5</v>
      </c>
      <c r="H17" s="35"/>
      <c r="I17" s="62">
        <f>SUM(I16:I16)</f>
        <v>5323.5</v>
      </c>
      <c r="J17" s="37"/>
    </row>
    <row r="18" spans="1:10" ht="15.75" thickTop="1" x14ac:dyDescent="0.25">
      <c r="A18" s="33"/>
      <c r="B18" s="34" t="s">
        <v>1900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89D408CD-CECD-45A2-9776-1523CB047626}"/>
  </hyperlinks>
  <pageMargins left="0.2" right="0.1" top="0.25" bottom="0.25" header="0.3" footer="0.3"/>
  <pageSetup paperSize="9" orientation="portrait" r:id="rId2"/>
  <drawing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0A899-FEA4-4592-8BDD-E978D4492A18}">
  <dimension ref="A1:J25"/>
  <sheetViews>
    <sheetView topLeftCell="A2" workbookViewId="0">
      <selection activeCell="F17" sqref="F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1827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1826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1828</v>
      </c>
      <c r="J9" s="188"/>
    </row>
    <row r="10" spans="1:10" x14ac:dyDescent="0.25">
      <c r="B10" t="s">
        <v>9</v>
      </c>
      <c r="C10" s="10" t="s">
        <v>1692</v>
      </c>
      <c r="D10" s="10"/>
      <c r="E10" s="10"/>
      <c r="F10" s="10"/>
    </row>
    <row r="11" spans="1:10" x14ac:dyDescent="0.25">
      <c r="B11" t="s">
        <v>11</v>
      </c>
      <c r="C11" s="132" t="s">
        <v>1693</v>
      </c>
      <c r="D11" s="11"/>
      <c r="E11" s="11"/>
      <c r="F11" s="11"/>
    </row>
    <row r="12" spans="1:10" x14ac:dyDescent="0.25">
      <c r="A12" s="12"/>
      <c r="B12" s="13"/>
      <c r="C12" s="132" t="s">
        <v>1694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1830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1829</v>
      </c>
      <c r="C16" s="54" t="s">
        <v>23</v>
      </c>
      <c r="D16" s="72">
        <v>2</v>
      </c>
      <c r="E16" s="56">
        <v>5100</v>
      </c>
      <c r="F16" s="56">
        <f t="shared" ref="F16" si="0">D16*E16</f>
        <v>10200</v>
      </c>
      <c r="G16" s="56">
        <f>F16*0.17</f>
        <v>1734.0000000000002</v>
      </c>
      <c r="H16" s="84">
        <f>E16*1.17</f>
        <v>5967</v>
      </c>
      <c r="I16" s="56">
        <f t="shared" ref="I16" si="1">H16*D16</f>
        <v>11934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2</v>
      </c>
      <c r="E17" s="35"/>
      <c r="F17" s="62">
        <f>SUM(F16:F16)</f>
        <v>10200</v>
      </c>
      <c r="G17" s="62">
        <f>SUM(G16:G16)</f>
        <v>1734.0000000000002</v>
      </c>
      <c r="H17" s="35"/>
      <c r="I17" s="62">
        <f>SUM(I16:I16)</f>
        <v>11934</v>
      </c>
      <c r="J17" s="37"/>
    </row>
    <row r="18" spans="1:10" ht="15.75" thickTop="1" x14ac:dyDescent="0.25">
      <c r="A18" s="33"/>
      <c r="B18" s="34" t="s">
        <v>1831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33FAE3B4-1BD3-4602-A445-24EAEBBB1BF1}"/>
  </hyperlinks>
  <pageMargins left="0.2" right="0.1" top="0.25" bottom="0.25" header="0.3" footer="0.3"/>
  <pageSetup paperSize="9" orientation="portrait" r:id="rId2"/>
  <drawing r:id="rId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67036-6F4D-4E15-8E18-1F4CD5DC8348}">
  <dimension ref="A1:R32"/>
  <sheetViews>
    <sheetView workbookViewId="0">
      <selection activeCell="A5" sqref="A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1800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1818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1819</v>
      </c>
      <c r="D10" s="10"/>
      <c r="E10" s="10"/>
      <c r="F10" s="10"/>
    </row>
    <row r="11" spans="1:14" x14ac:dyDescent="0.25">
      <c r="B11" t="s">
        <v>11</v>
      </c>
      <c r="C11" s="10" t="s">
        <v>1820</v>
      </c>
      <c r="D11" s="11"/>
      <c r="E11" s="11"/>
      <c r="F11" s="11"/>
    </row>
    <row r="12" spans="1:14" x14ac:dyDescent="0.25">
      <c r="A12" s="12"/>
      <c r="B12" s="13"/>
      <c r="C12" s="14" t="s">
        <v>1821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1822</v>
      </c>
      <c r="C16" s="53" t="s">
        <v>987</v>
      </c>
      <c r="D16" s="79">
        <v>3</v>
      </c>
      <c r="E16" s="56">
        <v>5600</v>
      </c>
      <c r="F16" s="56">
        <f t="shared" ref="F16:F23" si="0">D16*E16</f>
        <v>16800</v>
      </c>
      <c r="G16" s="56">
        <f t="shared" ref="G16:G23" si="1">F16*0.17</f>
        <v>2856</v>
      </c>
      <c r="H16" s="129">
        <f t="shared" ref="H16:H23" si="2">E16*1.17</f>
        <v>6552</v>
      </c>
      <c r="I16" s="56">
        <f t="shared" ref="I16:I23" si="3">H16*D16</f>
        <v>19656</v>
      </c>
      <c r="J16" s="83"/>
      <c r="N16" s="66"/>
    </row>
    <row r="17" spans="1:18" s="21" customFormat="1" ht="15.75" x14ac:dyDescent="0.25">
      <c r="A17" s="53">
        <v>2</v>
      </c>
      <c r="B17" s="78" t="s">
        <v>1809</v>
      </c>
      <c r="C17" s="53" t="s">
        <v>987</v>
      </c>
      <c r="D17" s="79">
        <v>3</v>
      </c>
      <c r="E17" s="56">
        <v>5600</v>
      </c>
      <c r="F17" s="56">
        <f t="shared" ref="F17:F19" si="4">D17*E17</f>
        <v>16800</v>
      </c>
      <c r="G17" s="56">
        <f t="shared" ref="G17:G19" si="5">F17*0.17</f>
        <v>2856</v>
      </c>
      <c r="H17" s="129">
        <f t="shared" ref="H17:H19" si="6">E17*1.17</f>
        <v>6552</v>
      </c>
      <c r="I17" s="56">
        <f t="shared" ref="I17:I19" si="7">H17*D17</f>
        <v>19656</v>
      </c>
      <c r="J17" s="83"/>
      <c r="N17" s="66"/>
    </row>
    <row r="18" spans="1:18" s="21" customFormat="1" ht="15.75" x14ac:dyDescent="0.25">
      <c r="A18" s="53">
        <v>3</v>
      </c>
      <c r="B18" s="78" t="s">
        <v>1797</v>
      </c>
      <c r="C18" s="53" t="s">
        <v>987</v>
      </c>
      <c r="D18" s="79">
        <v>3</v>
      </c>
      <c r="E18" s="56">
        <v>9000</v>
      </c>
      <c r="F18" s="56">
        <f t="shared" si="4"/>
        <v>27000</v>
      </c>
      <c r="G18" s="56">
        <f t="shared" si="5"/>
        <v>4590</v>
      </c>
      <c r="H18" s="129">
        <f t="shared" si="6"/>
        <v>10530</v>
      </c>
      <c r="I18" s="56">
        <f t="shared" si="7"/>
        <v>31590</v>
      </c>
      <c r="J18" s="83"/>
      <c r="N18" s="66"/>
    </row>
    <row r="19" spans="1:18" s="21" customFormat="1" x14ac:dyDescent="0.25">
      <c r="A19" s="53">
        <v>4</v>
      </c>
      <c r="B19" s="47" t="s">
        <v>1813</v>
      </c>
      <c r="C19" s="53" t="s">
        <v>987</v>
      </c>
      <c r="D19" s="79">
        <v>15</v>
      </c>
      <c r="E19" s="56">
        <v>8000</v>
      </c>
      <c r="F19" s="56">
        <f t="shared" si="4"/>
        <v>120000</v>
      </c>
      <c r="G19" s="56">
        <f t="shared" si="5"/>
        <v>20400</v>
      </c>
      <c r="H19" s="129">
        <f t="shared" si="6"/>
        <v>9360</v>
      </c>
      <c r="I19" s="56">
        <f t="shared" si="7"/>
        <v>140400</v>
      </c>
      <c r="J19" s="58"/>
      <c r="N19" s="66"/>
    </row>
    <row r="20" spans="1:18" s="21" customFormat="1" x14ac:dyDescent="0.25">
      <c r="A20" s="53">
        <v>5</v>
      </c>
      <c r="B20" s="47" t="s">
        <v>1864</v>
      </c>
      <c r="C20" s="53" t="s">
        <v>987</v>
      </c>
      <c r="D20" s="79">
        <v>3</v>
      </c>
      <c r="E20" s="56">
        <v>8000</v>
      </c>
      <c r="F20" s="56">
        <f t="shared" ref="F20" si="8">D20*E20</f>
        <v>24000</v>
      </c>
      <c r="G20" s="56">
        <f t="shared" ref="G20" si="9">F20*0.17</f>
        <v>4080.0000000000005</v>
      </c>
      <c r="H20" s="129">
        <f t="shared" ref="H20" si="10">E20*1.17</f>
        <v>9360</v>
      </c>
      <c r="I20" s="56">
        <f t="shared" ref="I20" si="11">H20*D20</f>
        <v>28080</v>
      </c>
      <c r="J20" s="58"/>
      <c r="N20" s="66"/>
    </row>
    <row r="21" spans="1:18" s="21" customFormat="1" ht="15.75" x14ac:dyDescent="0.25">
      <c r="A21" s="53">
        <v>6</v>
      </c>
      <c r="B21" s="78" t="s">
        <v>1823</v>
      </c>
      <c r="C21" s="53" t="s">
        <v>987</v>
      </c>
      <c r="D21" s="79">
        <v>3</v>
      </c>
      <c r="E21" s="56">
        <v>9000</v>
      </c>
      <c r="F21" s="56">
        <f t="shared" si="0"/>
        <v>27000</v>
      </c>
      <c r="G21" s="56">
        <f t="shared" si="1"/>
        <v>4590</v>
      </c>
      <c r="H21" s="129">
        <f t="shared" si="2"/>
        <v>10530</v>
      </c>
      <c r="I21" s="56">
        <f t="shared" si="3"/>
        <v>31590</v>
      </c>
      <c r="J21" s="83"/>
      <c r="N21" s="66"/>
    </row>
    <row r="22" spans="1:18" s="21" customFormat="1" ht="15.75" x14ac:dyDescent="0.25">
      <c r="A22" s="53">
        <v>7</v>
      </c>
      <c r="B22" s="78" t="s">
        <v>1824</v>
      </c>
      <c r="C22" s="53" t="s">
        <v>987</v>
      </c>
      <c r="D22" s="79">
        <v>3</v>
      </c>
      <c r="E22" s="56">
        <v>8500</v>
      </c>
      <c r="F22" s="56">
        <f t="shared" si="0"/>
        <v>25500</v>
      </c>
      <c r="G22" s="56">
        <f t="shared" si="1"/>
        <v>4335</v>
      </c>
      <c r="H22" s="129">
        <f t="shared" si="2"/>
        <v>9945</v>
      </c>
      <c r="I22" s="56">
        <f t="shared" si="3"/>
        <v>29835</v>
      </c>
      <c r="J22" s="83"/>
      <c r="N22" s="66"/>
    </row>
    <row r="23" spans="1:18" s="21" customFormat="1" x14ac:dyDescent="0.2">
      <c r="A23" s="53">
        <v>8</v>
      </c>
      <c r="B23" s="133" t="s">
        <v>1825</v>
      </c>
      <c r="C23" s="53" t="s">
        <v>987</v>
      </c>
      <c r="D23" s="79">
        <v>3</v>
      </c>
      <c r="E23" s="56">
        <v>5200</v>
      </c>
      <c r="F23" s="56">
        <f t="shared" si="0"/>
        <v>15600</v>
      </c>
      <c r="G23" s="56">
        <f t="shared" si="1"/>
        <v>2652</v>
      </c>
      <c r="H23" s="129">
        <f t="shared" si="2"/>
        <v>6084</v>
      </c>
      <c r="I23" s="56">
        <f t="shared" si="3"/>
        <v>18252</v>
      </c>
      <c r="J23" s="58"/>
      <c r="N23" s="66"/>
    </row>
    <row r="24" spans="1:18" ht="15.75" thickBot="1" x14ac:dyDescent="0.3">
      <c r="A24" s="33"/>
      <c r="B24" s="34" t="s">
        <v>24</v>
      </c>
      <c r="C24" s="35"/>
      <c r="D24" s="62">
        <f>SUM(D16:D23)</f>
        <v>36</v>
      </c>
      <c r="E24" s="35"/>
      <c r="F24" s="62">
        <f>SUM(F16:F23)</f>
        <v>272700</v>
      </c>
      <c r="G24" s="62">
        <f>SUM(G16:G23)</f>
        <v>46359</v>
      </c>
      <c r="H24" s="35"/>
      <c r="I24" s="62">
        <f>SUM(I16:I23)</f>
        <v>319059</v>
      </c>
      <c r="J24" s="37"/>
    </row>
    <row r="25" spans="1:18" ht="15.75" thickTop="1" x14ac:dyDescent="0.25">
      <c r="A25" s="33"/>
      <c r="B25" s="34" t="s">
        <v>1863</v>
      </c>
      <c r="C25" s="35"/>
      <c r="D25" s="35"/>
      <c r="E25" s="35"/>
      <c r="F25" s="35"/>
      <c r="G25" s="35"/>
      <c r="H25" s="35"/>
      <c r="I25" s="35"/>
      <c r="J25" s="37"/>
    </row>
    <row r="26" spans="1:18" x14ac:dyDescent="0.25">
      <c r="A26" s="33"/>
      <c r="B26" s="38" t="s">
        <v>25</v>
      </c>
      <c r="C26" s="35"/>
      <c r="D26" s="35"/>
      <c r="E26" s="35"/>
      <c r="F26" s="35"/>
      <c r="G26" s="35"/>
      <c r="H26" s="35"/>
      <c r="I26" s="35"/>
      <c r="J26" s="37"/>
      <c r="M26" s="64"/>
      <c r="O26" s="65"/>
      <c r="P26" s="64"/>
      <c r="Q26" s="64"/>
      <c r="R26" s="64"/>
    </row>
    <row r="27" spans="1:18" ht="30" customHeight="1" x14ac:dyDescent="0.25">
      <c r="B27" s="183" t="s">
        <v>26</v>
      </c>
      <c r="C27" s="183"/>
      <c r="D27" s="183"/>
      <c r="E27" s="183"/>
      <c r="F27" s="183"/>
      <c r="G27" s="183"/>
      <c r="H27" s="183"/>
      <c r="I27" s="183"/>
      <c r="J27" s="183"/>
      <c r="P27" s="64"/>
      <c r="R27" s="65"/>
    </row>
    <row r="28" spans="1:18" x14ac:dyDescent="0.25">
      <c r="B28" t="s">
        <v>634</v>
      </c>
    </row>
    <row r="31" spans="1:18" x14ac:dyDescent="0.25">
      <c r="B31" t="s">
        <v>28</v>
      </c>
      <c r="H31" t="s">
        <v>28</v>
      </c>
    </row>
    <row r="32" spans="1:18" x14ac:dyDescent="0.25">
      <c r="B32" t="s">
        <v>29</v>
      </c>
      <c r="H32" t="s">
        <v>30</v>
      </c>
    </row>
  </sheetData>
  <autoFilter ref="A15:J28" xr:uid="{00000000-0009-0000-0000-000000000000}"/>
  <mergeCells count="5">
    <mergeCell ref="A6:J6"/>
    <mergeCell ref="I7:J7"/>
    <mergeCell ref="I8:J8"/>
    <mergeCell ref="I9:J9"/>
    <mergeCell ref="B27:J27"/>
  </mergeCells>
  <hyperlinks>
    <hyperlink ref="H5" r:id="rId1" xr:uid="{B5637DBA-2D9A-430F-BFDF-E61721214DD2}"/>
  </hyperlinks>
  <pageMargins left="0.2" right="0.1" top="0.25" bottom="0.25" header="0.3" footer="0.3"/>
  <pageSetup paperSize="9" orientation="portrait" r:id="rId2"/>
  <drawing r:id="rId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DE959-0FEC-4CC4-A215-95B246F5E778}">
  <dimension ref="A1:R28"/>
  <sheetViews>
    <sheetView topLeftCell="A3" workbookViewId="0">
      <selection activeCell="D19" sqref="D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1800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1815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1816</v>
      </c>
      <c r="D10" s="10"/>
      <c r="E10" s="10"/>
      <c r="F10" s="10"/>
    </row>
    <row r="11" spans="1:14" x14ac:dyDescent="0.25">
      <c r="B11" t="s">
        <v>11</v>
      </c>
      <c r="C11" s="10" t="s">
        <v>1641</v>
      </c>
      <c r="D11" s="11"/>
      <c r="E11" s="11"/>
      <c r="F11" s="11"/>
    </row>
    <row r="12" spans="1:14" x14ac:dyDescent="0.25">
      <c r="A12" s="12"/>
      <c r="B12" s="13"/>
      <c r="C12" s="14" t="s">
        <v>1642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1568</v>
      </c>
      <c r="C16" s="53" t="s">
        <v>987</v>
      </c>
      <c r="D16" s="79">
        <v>3</v>
      </c>
      <c r="E16" s="56">
        <v>5600</v>
      </c>
      <c r="F16" s="56">
        <f t="shared" ref="F16:F19" si="0">D16*E16</f>
        <v>16800</v>
      </c>
      <c r="G16" s="56">
        <f t="shared" ref="G16:G19" si="1">F16*0.17</f>
        <v>2856</v>
      </c>
      <c r="H16" s="129">
        <f t="shared" ref="H16:H19" si="2">E16*1.17</f>
        <v>6552</v>
      </c>
      <c r="I16" s="56">
        <f t="shared" ref="I16:I19" si="3">H16*D16</f>
        <v>19656</v>
      </c>
      <c r="J16" s="83"/>
      <c r="N16" s="66"/>
    </row>
    <row r="17" spans="1:18" s="21" customFormat="1" ht="15.75" x14ac:dyDescent="0.25">
      <c r="A17" s="53">
        <v>2</v>
      </c>
      <c r="B17" s="78" t="s">
        <v>1810</v>
      </c>
      <c r="C17" s="53" t="s">
        <v>987</v>
      </c>
      <c r="D17" s="79">
        <v>5</v>
      </c>
      <c r="E17" s="56">
        <v>5500</v>
      </c>
      <c r="F17" s="56">
        <f t="shared" si="0"/>
        <v>27500</v>
      </c>
      <c r="G17" s="56">
        <f t="shared" si="1"/>
        <v>4675</v>
      </c>
      <c r="H17" s="129">
        <f t="shared" si="2"/>
        <v>6435</v>
      </c>
      <c r="I17" s="56">
        <f t="shared" si="3"/>
        <v>32175</v>
      </c>
      <c r="J17" s="83"/>
      <c r="N17" s="66"/>
    </row>
    <row r="18" spans="1:18" s="21" customFormat="1" ht="15.75" x14ac:dyDescent="0.25">
      <c r="A18" s="53">
        <v>3</v>
      </c>
      <c r="B18" s="78" t="s">
        <v>1813</v>
      </c>
      <c r="C18" s="53" t="s">
        <v>987</v>
      </c>
      <c r="D18" s="79">
        <v>2</v>
      </c>
      <c r="E18" s="56">
        <v>8000</v>
      </c>
      <c r="F18" s="56">
        <f t="shared" si="0"/>
        <v>16000</v>
      </c>
      <c r="G18" s="56">
        <f t="shared" si="1"/>
        <v>2720</v>
      </c>
      <c r="H18" s="129">
        <f t="shared" si="2"/>
        <v>9360</v>
      </c>
      <c r="I18" s="56">
        <f t="shared" si="3"/>
        <v>18720</v>
      </c>
      <c r="J18" s="83"/>
      <c r="N18" s="66"/>
    </row>
    <row r="19" spans="1:18" s="21" customFormat="1" x14ac:dyDescent="0.25">
      <c r="A19" s="53"/>
      <c r="B19" s="47"/>
      <c r="C19" s="82"/>
      <c r="D19" s="57"/>
      <c r="E19" s="56"/>
      <c r="F19" s="56">
        <f t="shared" si="0"/>
        <v>0</v>
      </c>
      <c r="G19" s="56">
        <f t="shared" si="1"/>
        <v>0</v>
      </c>
      <c r="H19" s="129">
        <f t="shared" si="2"/>
        <v>0</v>
      </c>
      <c r="I19" s="56">
        <f t="shared" si="3"/>
        <v>0</v>
      </c>
      <c r="J19" s="58"/>
      <c r="N19" s="66"/>
    </row>
    <row r="20" spans="1:18" ht="15.75" thickBot="1" x14ac:dyDescent="0.3">
      <c r="A20" s="33"/>
      <c r="B20" s="34" t="s">
        <v>24</v>
      </c>
      <c r="C20" s="35"/>
      <c r="D20" s="62">
        <f>SUM(D16:D19)</f>
        <v>10</v>
      </c>
      <c r="E20" s="35"/>
      <c r="F20" s="62">
        <f>SUM(F16:F19)</f>
        <v>60300</v>
      </c>
      <c r="G20" s="62">
        <f>SUM(G16:G19)</f>
        <v>10251</v>
      </c>
      <c r="H20" s="35"/>
      <c r="I20" s="62">
        <f>SUM(I16:I19)</f>
        <v>70551</v>
      </c>
      <c r="J20" s="37"/>
    </row>
    <row r="21" spans="1:18" ht="15.75" thickTop="1" x14ac:dyDescent="0.25">
      <c r="A21" s="33"/>
      <c r="B21" s="34" t="s">
        <v>1817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/>
      <c r="O22" s="65"/>
      <c r="P22" s="64"/>
      <c r="Q22" s="64"/>
      <c r="R22" s="64"/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/>
    </row>
    <row r="24" spans="1:18" x14ac:dyDescent="0.25">
      <c r="B24" t="s">
        <v>634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B6AD722D-E981-4718-B5E5-4D669EBC9C9F}"/>
  </hyperlinks>
  <pageMargins left="0.2" right="0.1" top="0.25" bottom="0.25" header="0.3" footer="0.3"/>
  <pageSetup paperSize="9" orientation="portrait" r:id="rId2"/>
  <drawing r:id="rId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06C7F-B80B-444E-B153-C1A608458EB3}">
  <dimension ref="A1:R32"/>
  <sheetViews>
    <sheetView topLeftCell="A7" workbookViewId="0">
      <selection activeCell="K21" sqref="K2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1800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1807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1808</v>
      </c>
      <c r="D10" s="10"/>
      <c r="E10" s="10"/>
      <c r="F10" s="10"/>
    </row>
    <row r="11" spans="1:14" x14ac:dyDescent="0.25">
      <c r="B11" t="s">
        <v>11</v>
      </c>
      <c r="C11" s="10" t="s">
        <v>1641</v>
      </c>
      <c r="D11" s="11"/>
      <c r="E11" s="11"/>
      <c r="F11" s="11"/>
    </row>
    <row r="12" spans="1:14" x14ac:dyDescent="0.25">
      <c r="A12" s="12"/>
      <c r="B12" s="13"/>
      <c r="C12" s="14" t="s">
        <v>1642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1568</v>
      </c>
      <c r="C16" s="53" t="s">
        <v>987</v>
      </c>
      <c r="D16" s="79">
        <v>20</v>
      </c>
      <c r="E16" s="56">
        <v>5600</v>
      </c>
      <c r="F16" s="56">
        <f t="shared" ref="F16:F23" si="0">D16*E16</f>
        <v>112000</v>
      </c>
      <c r="G16" s="56">
        <f t="shared" ref="G16:G23" si="1">F16*0.17</f>
        <v>19040</v>
      </c>
      <c r="H16" s="129">
        <f t="shared" ref="H16:H23" si="2">E16*1.17</f>
        <v>6552</v>
      </c>
      <c r="I16" s="56">
        <f t="shared" ref="I16:I23" si="3">H16*D16</f>
        <v>131040</v>
      </c>
      <c r="J16" s="83"/>
      <c r="N16" s="66"/>
    </row>
    <row r="17" spans="1:18" s="21" customFormat="1" ht="15.75" x14ac:dyDescent="0.25">
      <c r="A17" s="53">
        <v>2</v>
      </c>
      <c r="B17" s="78" t="s">
        <v>1809</v>
      </c>
      <c r="C17" s="53" t="s">
        <v>987</v>
      </c>
      <c r="D17" s="79">
        <v>10</v>
      </c>
      <c r="E17" s="56">
        <v>5600</v>
      </c>
      <c r="F17" s="56">
        <f t="shared" ref="F17:F18" si="4">D17*E17</f>
        <v>56000</v>
      </c>
      <c r="G17" s="56">
        <f t="shared" ref="G17:G18" si="5">F17*0.17</f>
        <v>9520</v>
      </c>
      <c r="H17" s="129">
        <f t="shared" ref="H17:H18" si="6">E17*1.17</f>
        <v>6552</v>
      </c>
      <c r="I17" s="56">
        <f t="shared" ref="I17:I18" si="7">H17*D17</f>
        <v>65520</v>
      </c>
      <c r="J17" s="83"/>
      <c r="N17" s="66"/>
    </row>
    <row r="18" spans="1:18" s="21" customFormat="1" ht="15.75" x14ac:dyDescent="0.25">
      <c r="A18" s="53">
        <v>3</v>
      </c>
      <c r="B18" s="78" t="s">
        <v>1567</v>
      </c>
      <c r="C18" s="53" t="s">
        <v>987</v>
      </c>
      <c r="D18" s="79">
        <v>5</v>
      </c>
      <c r="E18" s="56">
        <v>9000</v>
      </c>
      <c r="F18" s="56">
        <f t="shared" si="4"/>
        <v>45000</v>
      </c>
      <c r="G18" s="56">
        <f t="shared" si="5"/>
        <v>7650.0000000000009</v>
      </c>
      <c r="H18" s="129">
        <f t="shared" si="6"/>
        <v>10530</v>
      </c>
      <c r="I18" s="56">
        <f t="shared" si="7"/>
        <v>52650</v>
      </c>
      <c r="J18" s="83"/>
      <c r="N18" s="66"/>
    </row>
    <row r="19" spans="1:18" s="21" customFormat="1" ht="15.75" x14ac:dyDescent="0.25">
      <c r="A19" s="53">
        <v>4</v>
      </c>
      <c r="B19" s="78" t="s">
        <v>1810</v>
      </c>
      <c r="C19" s="53" t="s">
        <v>987</v>
      </c>
      <c r="D19" s="79">
        <v>5</v>
      </c>
      <c r="E19" s="56">
        <v>5500</v>
      </c>
      <c r="F19" s="56">
        <f t="shared" si="0"/>
        <v>27500</v>
      </c>
      <c r="G19" s="56">
        <f t="shared" si="1"/>
        <v>4675</v>
      </c>
      <c r="H19" s="129">
        <f t="shared" si="2"/>
        <v>6435</v>
      </c>
      <c r="I19" s="56">
        <f t="shared" si="3"/>
        <v>32175</v>
      </c>
      <c r="J19" s="83"/>
      <c r="N19" s="66"/>
    </row>
    <row r="20" spans="1:18" s="21" customFormat="1" ht="15.75" x14ac:dyDescent="0.25">
      <c r="A20" s="53">
        <v>5</v>
      </c>
      <c r="B20" s="78" t="s">
        <v>1811</v>
      </c>
      <c r="C20" s="53" t="s">
        <v>987</v>
      </c>
      <c r="D20" s="79">
        <v>5</v>
      </c>
      <c r="E20" s="56">
        <v>5200</v>
      </c>
      <c r="F20" s="56">
        <f t="shared" ref="F20" si="8">D20*E20</f>
        <v>26000</v>
      </c>
      <c r="G20" s="56">
        <f t="shared" ref="G20" si="9">F20*0.17</f>
        <v>4420</v>
      </c>
      <c r="H20" s="129">
        <f t="shared" ref="H20" si="10">E20*1.17</f>
        <v>6084</v>
      </c>
      <c r="I20" s="56">
        <f t="shared" ref="I20" si="11">H20*D20</f>
        <v>30420</v>
      </c>
      <c r="J20" s="83"/>
      <c r="N20" s="66"/>
    </row>
    <row r="21" spans="1:18" s="21" customFormat="1" ht="15.75" x14ac:dyDescent="0.25">
      <c r="A21" s="53">
        <v>6</v>
      </c>
      <c r="B21" s="78" t="s">
        <v>1812</v>
      </c>
      <c r="C21" s="53" t="s">
        <v>987</v>
      </c>
      <c r="D21" s="79">
        <v>10</v>
      </c>
      <c r="E21" s="56">
        <v>5000</v>
      </c>
      <c r="F21" s="56">
        <f t="shared" ref="F21" si="12">D21*E21</f>
        <v>50000</v>
      </c>
      <c r="G21" s="56">
        <f t="shared" ref="G21" si="13">F21*0.17</f>
        <v>8500</v>
      </c>
      <c r="H21" s="129">
        <f t="shared" ref="H21" si="14">E21*1.17</f>
        <v>5850</v>
      </c>
      <c r="I21" s="56">
        <f t="shared" ref="I21" si="15">H21*D21</f>
        <v>58500</v>
      </c>
      <c r="J21" s="83"/>
      <c r="N21" s="66"/>
    </row>
    <row r="22" spans="1:18" s="21" customFormat="1" ht="15.75" x14ac:dyDescent="0.25">
      <c r="A22" s="53">
        <v>7</v>
      </c>
      <c r="B22" s="78" t="s">
        <v>1813</v>
      </c>
      <c r="C22" s="53" t="s">
        <v>987</v>
      </c>
      <c r="D22" s="79">
        <v>10</v>
      </c>
      <c r="E22" s="56">
        <v>8000</v>
      </c>
      <c r="F22" s="56">
        <f t="shared" si="0"/>
        <v>80000</v>
      </c>
      <c r="G22" s="56">
        <f t="shared" si="1"/>
        <v>13600.000000000002</v>
      </c>
      <c r="H22" s="129">
        <f t="shared" si="2"/>
        <v>9360</v>
      </c>
      <c r="I22" s="56">
        <f t="shared" si="3"/>
        <v>93600</v>
      </c>
      <c r="J22" s="83"/>
      <c r="N22" s="66"/>
    </row>
    <row r="23" spans="1:18" s="21" customFormat="1" x14ac:dyDescent="0.25">
      <c r="A23" s="53"/>
      <c r="B23" s="47"/>
      <c r="C23" s="82"/>
      <c r="D23" s="57"/>
      <c r="E23" s="56"/>
      <c r="F23" s="56">
        <f t="shared" si="0"/>
        <v>0</v>
      </c>
      <c r="G23" s="56">
        <f t="shared" si="1"/>
        <v>0</v>
      </c>
      <c r="H23" s="129">
        <f t="shared" si="2"/>
        <v>0</v>
      </c>
      <c r="I23" s="56">
        <f t="shared" si="3"/>
        <v>0</v>
      </c>
      <c r="J23" s="58"/>
      <c r="N23" s="66"/>
    </row>
    <row r="24" spans="1:18" ht="15.75" thickBot="1" x14ac:dyDescent="0.3">
      <c r="A24" s="33"/>
      <c r="B24" s="34" t="s">
        <v>24</v>
      </c>
      <c r="C24" s="35"/>
      <c r="D24" s="62">
        <f>SUM(D16:D23)</f>
        <v>65</v>
      </c>
      <c r="E24" s="35"/>
      <c r="F24" s="62">
        <f>SUM(F16:F23)</f>
        <v>396500</v>
      </c>
      <c r="G24" s="62">
        <f>SUM(G16:G23)</f>
        <v>67405</v>
      </c>
      <c r="H24" s="35"/>
      <c r="I24" s="62">
        <f>SUM(I16:I23)</f>
        <v>463905</v>
      </c>
      <c r="J24" s="37"/>
    </row>
    <row r="25" spans="1:18" ht="15.75" thickTop="1" x14ac:dyDescent="0.25">
      <c r="A25" s="33"/>
      <c r="B25" s="34" t="s">
        <v>1814</v>
      </c>
      <c r="C25" s="35"/>
      <c r="D25" s="35"/>
      <c r="E25" s="35"/>
      <c r="F25" s="35"/>
      <c r="G25" s="35"/>
      <c r="H25" s="35"/>
      <c r="I25" s="35"/>
      <c r="J25" s="37"/>
    </row>
    <row r="26" spans="1:18" x14ac:dyDescent="0.25">
      <c r="A26" s="33"/>
      <c r="B26" s="38" t="s">
        <v>25</v>
      </c>
      <c r="C26" s="35"/>
      <c r="D26" s="35"/>
      <c r="E26" s="35"/>
      <c r="F26" s="35"/>
      <c r="G26" s="35"/>
      <c r="H26" s="35"/>
      <c r="I26" s="35"/>
      <c r="J26" s="37"/>
      <c r="M26" s="64"/>
      <c r="O26" s="65"/>
      <c r="P26" s="64"/>
      <c r="Q26" s="64"/>
      <c r="R26" s="64"/>
    </row>
    <row r="27" spans="1:18" ht="30" customHeight="1" x14ac:dyDescent="0.25">
      <c r="B27" s="183" t="s">
        <v>26</v>
      </c>
      <c r="C27" s="183"/>
      <c r="D27" s="183"/>
      <c r="E27" s="183"/>
      <c r="F27" s="183"/>
      <c r="G27" s="183"/>
      <c r="H27" s="183"/>
      <c r="I27" s="183"/>
      <c r="J27" s="183"/>
      <c r="P27" s="64"/>
      <c r="R27" s="65"/>
    </row>
    <row r="28" spans="1:18" x14ac:dyDescent="0.25">
      <c r="B28" t="s">
        <v>634</v>
      </c>
    </row>
    <row r="31" spans="1:18" x14ac:dyDescent="0.25">
      <c r="B31" t="s">
        <v>28</v>
      </c>
      <c r="H31" t="s">
        <v>28</v>
      </c>
    </row>
    <row r="32" spans="1:18" x14ac:dyDescent="0.25">
      <c r="B32" t="s">
        <v>29</v>
      </c>
      <c r="H32" t="s">
        <v>30</v>
      </c>
    </row>
  </sheetData>
  <autoFilter ref="A15:J28" xr:uid="{00000000-0009-0000-0000-000000000000}"/>
  <mergeCells count="5">
    <mergeCell ref="A6:J6"/>
    <mergeCell ref="I7:J7"/>
    <mergeCell ref="I8:J8"/>
    <mergeCell ref="I9:J9"/>
    <mergeCell ref="B27:J27"/>
  </mergeCells>
  <hyperlinks>
    <hyperlink ref="H5" r:id="rId1" xr:uid="{EC454FED-BF2E-4DC4-B46A-17802ED0FB5E}"/>
  </hyperlinks>
  <pageMargins left="0.2" right="0.1" top="0.25" bottom="0.25" header="0.3" footer="0.3"/>
  <pageSetup paperSize="9" orientation="portrait" r:id="rId2"/>
  <drawing r:id="rId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AD636-CF7D-4A6C-9DCB-D26D602E159A}">
  <dimension ref="A1:R26"/>
  <sheetViews>
    <sheetView topLeftCell="A2" workbookViewId="0">
      <selection activeCell="C10" sqref="C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1800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1806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1712</v>
      </c>
      <c r="D10" s="10"/>
      <c r="E10" s="10"/>
      <c r="F10" s="10"/>
    </row>
    <row r="11" spans="1:14" x14ac:dyDescent="0.25">
      <c r="B11" t="s">
        <v>11</v>
      </c>
      <c r="C11" s="10" t="s">
        <v>1641</v>
      </c>
      <c r="D11" s="11"/>
      <c r="E11" s="11"/>
      <c r="F11" s="11"/>
    </row>
    <row r="12" spans="1:14" x14ac:dyDescent="0.25">
      <c r="A12" s="12"/>
      <c r="B12" s="13"/>
      <c r="C12" s="14" t="s">
        <v>1642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1568</v>
      </c>
      <c r="C16" s="53" t="s">
        <v>987</v>
      </c>
      <c r="D16" s="79">
        <v>5</v>
      </c>
      <c r="E16" s="56">
        <v>5600</v>
      </c>
      <c r="F16" s="56">
        <f t="shared" ref="F16:F17" si="0">D16*E16</f>
        <v>28000</v>
      </c>
      <c r="G16" s="56">
        <f t="shared" ref="G16:G17" si="1">F16*0.17</f>
        <v>4760</v>
      </c>
      <c r="H16" s="129">
        <f t="shared" ref="H16:H17" si="2">E16*1.17</f>
        <v>6552</v>
      </c>
      <c r="I16" s="56">
        <f t="shared" ref="I16:I17" si="3">H16*D16</f>
        <v>32760</v>
      </c>
      <c r="J16" s="83"/>
      <c r="N16" s="66"/>
    </row>
    <row r="17" spans="1:18" s="21" customFormat="1" x14ac:dyDescent="0.25">
      <c r="A17" s="53"/>
      <c r="B17" s="47"/>
      <c r="C17" s="82"/>
      <c r="D17" s="57"/>
      <c r="E17" s="56"/>
      <c r="F17" s="56">
        <f t="shared" si="0"/>
        <v>0</v>
      </c>
      <c r="G17" s="56">
        <f t="shared" si="1"/>
        <v>0</v>
      </c>
      <c r="H17" s="129">
        <f t="shared" si="2"/>
        <v>0</v>
      </c>
      <c r="I17" s="56">
        <f t="shared" si="3"/>
        <v>0</v>
      </c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5</v>
      </c>
      <c r="E18" s="35"/>
      <c r="F18" s="62">
        <f>SUM(F16:F17)</f>
        <v>28000</v>
      </c>
      <c r="G18" s="62">
        <f>SUM(G16:G17)</f>
        <v>4760</v>
      </c>
      <c r="H18" s="35"/>
      <c r="I18" s="62">
        <f>SUM(I16:I17)</f>
        <v>32760</v>
      </c>
      <c r="J18" s="37"/>
    </row>
    <row r="19" spans="1:18" ht="15.75" thickTop="1" x14ac:dyDescent="0.25">
      <c r="A19" s="33"/>
      <c r="B19" s="34" t="s">
        <v>1835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FA3E87A5-78E8-4AD0-A6A5-1222B6023623}"/>
  </hyperlinks>
  <pageMargins left="0.2" right="0.1" top="0.25" bottom="0.25" header="0.3" footer="0.3"/>
  <pageSetup paperSize="9" orientation="portrait" r:id="rId2"/>
  <drawing r:id="rId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E5B15-B4EF-4B67-940D-6449851CC8CE}">
  <dimension ref="A1:R29"/>
  <sheetViews>
    <sheetView topLeftCell="A3" workbookViewId="0">
      <selection activeCell="C9" sqref="C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1800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1799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1708</v>
      </c>
      <c r="D10" s="10"/>
      <c r="E10" s="10"/>
      <c r="F10" s="10"/>
    </row>
    <row r="11" spans="1:14" x14ac:dyDescent="0.25">
      <c r="B11" t="s">
        <v>11</v>
      </c>
      <c r="C11" s="10" t="s">
        <v>1641</v>
      </c>
      <c r="D11" s="11"/>
      <c r="E11" s="11"/>
      <c r="F11" s="11"/>
    </row>
    <row r="12" spans="1:14" x14ac:dyDescent="0.25">
      <c r="A12" s="12"/>
      <c r="B12" s="13"/>
      <c r="C12" s="14" t="s">
        <v>1642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4" s="21" customFormat="1" ht="15.75" x14ac:dyDescent="0.25">
      <c r="A16" s="53">
        <v>1</v>
      </c>
      <c r="B16" s="78" t="s">
        <v>1801</v>
      </c>
      <c r="C16" s="53" t="s">
        <v>987</v>
      </c>
      <c r="D16" s="79">
        <v>2</v>
      </c>
      <c r="E16" s="56">
        <v>10000</v>
      </c>
      <c r="F16" s="56">
        <f t="shared" ref="F16:F20" si="0">D16*E16</f>
        <v>20000</v>
      </c>
      <c r="G16" s="56">
        <f t="shared" ref="G16:G20" si="1">F16*0.17</f>
        <v>3400.0000000000005</v>
      </c>
      <c r="H16" s="129">
        <f t="shared" ref="H16:H20" si="2">E16*1.17</f>
        <v>11700</v>
      </c>
      <c r="I16" s="56">
        <f t="shared" ref="I16:I20" si="3">H16*D16</f>
        <v>23400</v>
      </c>
      <c r="J16" s="83"/>
      <c r="N16" s="66"/>
    </row>
    <row r="17" spans="1:18" s="21" customFormat="1" ht="15.75" x14ac:dyDescent="0.25">
      <c r="A17" s="53">
        <v>2</v>
      </c>
      <c r="B17" s="78" t="s">
        <v>1802</v>
      </c>
      <c r="C17" s="53" t="s">
        <v>987</v>
      </c>
      <c r="D17" s="79">
        <v>2</v>
      </c>
      <c r="E17" s="56">
        <v>10000</v>
      </c>
      <c r="F17" s="56">
        <f t="shared" ref="F17:F18" si="4">D17*E17</f>
        <v>20000</v>
      </c>
      <c r="G17" s="56">
        <f t="shared" ref="G17:G18" si="5">F17*0.17</f>
        <v>3400.0000000000005</v>
      </c>
      <c r="H17" s="129">
        <f t="shared" ref="H17:H18" si="6">E17*1.17</f>
        <v>11700</v>
      </c>
      <c r="I17" s="56">
        <f t="shared" ref="I17:I18" si="7">H17*D17</f>
        <v>23400</v>
      </c>
      <c r="J17" s="83"/>
      <c r="L17" s="21" t="s">
        <v>1571</v>
      </c>
      <c r="M17" s="21">
        <f>30*160</f>
        <v>4800</v>
      </c>
      <c r="N17" s="66">
        <f>M17*D17</f>
        <v>9600</v>
      </c>
    </row>
    <row r="18" spans="1:18" s="21" customFormat="1" ht="15.75" x14ac:dyDescent="0.25">
      <c r="A18" s="53">
        <v>3</v>
      </c>
      <c r="B18" s="78" t="s">
        <v>1803</v>
      </c>
      <c r="C18" s="53" t="s">
        <v>987</v>
      </c>
      <c r="D18" s="79">
        <v>2</v>
      </c>
      <c r="E18" s="56">
        <v>10000</v>
      </c>
      <c r="F18" s="56">
        <f t="shared" si="4"/>
        <v>20000</v>
      </c>
      <c r="G18" s="56">
        <f t="shared" si="5"/>
        <v>3400.0000000000005</v>
      </c>
      <c r="H18" s="129">
        <f t="shared" si="6"/>
        <v>11700</v>
      </c>
      <c r="I18" s="56">
        <f t="shared" si="7"/>
        <v>23400</v>
      </c>
      <c r="J18" s="83"/>
      <c r="L18" s="21" t="s">
        <v>1571</v>
      </c>
      <c r="M18" s="21">
        <f>30*160</f>
        <v>4800</v>
      </c>
      <c r="N18" s="66">
        <f>M18*D18</f>
        <v>9600</v>
      </c>
    </row>
    <row r="19" spans="1:18" s="21" customFormat="1" ht="15.75" x14ac:dyDescent="0.25">
      <c r="A19" s="53">
        <v>4</v>
      </c>
      <c r="B19" s="78" t="s">
        <v>1804</v>
      </c>
      <c r="C19" s="53" t="s">
        <v>987</v>
      </c>
      <c r="D19" s="79">
        <v>2</v>
      </c>
      <c r="E19" s="56">
        <v>10000</v>
      </c>
      <c r="F19" s="56">
        <f t="shared" si="0"/>
        <v>20000</v>
      </c>
      <c r="G19" s="56">
        <f t="shared" si="1"/>
        <v>3400.0000000000005</v>
      </c>
      <c r="H19" s="129">
        <f t="shared" si="2"/>
        <v>11700</v>
      </c>
      <c r="I19" s="56">
        <f t="shared" si="3"/>
        <v>23400</v>
      </c>
      <c r="J19" s="83"/>
      <c r="L19" s="21" t="s">
        <v>1571</v>
      </c>
      <c r="M19" s="21">
        <f>30*160</f>
        <v>4800</v>
      </c>
      <c r="N19" s="66">
        <f>M19*D19</f>
        <v>9600</v>
      </c>
    </row>
    <row r="20" spans="1:18" s="21" customFormat="1" x14ac:dyDescent="0.25">
      <c r="A20" s="53"/>
      <c r="B20" s="47"/>
      <c r="C20" s="82"/>
      <c r="D20" s="57"/>
      <c r="E20" s="56"/>
      <c r="F20" s="56">
        <f t="shared" si="0"/>
        <v>0</v>
      </c>
      <c r="G20" s="56">
        <f t="shared" si="1"/>
        <v>0</v>
      </c>
      <c r="H20" s="129">
        <f t="shared" si="2"/>
        <v>0</v>
      </c>
      <c r="I20" s="56">
        <f t="shared" si="3"/>
        <v>0</v>
      </c>
      <c r="J20" s="58"/>
      <c r="M20" s="21">
        <f t="shared" ref="M20" si="8">440*1.02</f>
        <v>448.8</v>
      </c>
      <c r="N20" s="66" t="e">
        <f>#REF!+N19</f>
        <v>#REF!</v>
      </c>
      <c r="O20" s="21" t="e">
        <f t="shared" ref="O20" si="9">N20*D20</f>
        <v>#REF!</v>
      </c>
    </row>
    <row r="21" spans="1:18" ht="15.75" thickBot="1" x14ac:dyDescent="0.3">
      <c r="A21" s="33"/>
      <c r="B21" s="34" t="s">
        <v>24</v>
      </c>
      <c r="C21" s="35"/>
      <c r="D21" s="62">
        <f>SUM(D16:D20)</f>
        <v>8</v>
      </c>
      <c r="E21" s="35"/>
      <c r="F21" s="62">
        <f>SUM(F16:F20)</f>
        <v>80000</v>
      </c>
      <c r="G21" s="62">
        <f>SUM(G16:G20)</f>
        <v>13600.000000000002</v>
      </c>
      <c r="H21" s="35"/>
      <c r="I21" s="62">
        <f>SUM(I16:I20)</f>
        <v>93600</v>
      </c>
      <c r="J21" s="37"/>
      <c r="M21" t="e">
        <f>#REF!/117*100</f>
        <v>#REF!</v>
      </c>
      <c r="O21" t="e">
        <f>M21*1.1</f>
        <v>#REF!</v>
      </c>
    </row>
    <row r="22" spans="1:18" ht="15.75" thickTop="1" x14ac:dyDescent="0.25">
      <c r="A22" s="33"/>
      <c r="B22" s="34" t="s">
        <v>1805</v>
      </c>
      <c r="C22" s="35"/>
      <c r="D22" s="35"/>
      <c r="E22" s="35"/>
      <c r="F22" s="35"/>
      <c r="G22" s="35"/>
      <c r="H22" s="35"/>
      <c r="I22" s="35"/>
      <c r="J22" s="37"/>
    </row>
    <row r="23" spans="1:18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  <c r="M23" s="64" t="e">
        <f>M21*#REF!</f>
        <v>#REF!</v>
      </c>
      <c r="O23" s="65" t="e">
        <f>#REF!</f>
        <v>#REF!</v>
      </c>
      <c r="P23" s="64" t="e">
        <f>O23-M23</f>
        <v>#REF!</v>
      </c>
      <c r="Q23" s="64" t="e">
        <f>#REF!*0.045</f>
        <v>#REF!</v>
      </c>
      <c r="R23" s="64" t="e">
        <f>P23-Q23</f>
        <v>#REF!</v>
      </c>
    </row>
    <row r="24" spans="1:18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  <c r="P24" s="64"/>
      <c r="R24" s="65" t="e">
        <f>#REF!-#REF!</f>
        <v>#REF!</v>
      </c>
    </row>
    <row r="25" spans="1:18" x14ac:dyDescent="0.25">
      <c r="B25" t="s">
        <v>634</v>
      </c>
    </row>
    <row r="28" spans="1:18" x14ac:dyDescent="0.25">
      <c r="B28" t="s">
        <v>28</v>
      </c>
      <c r="H28" t="s">
        <v>28</v>
      </c>
    </row>
    <row r="29" spans="1:18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E6919D82-556C-4182-93A9-C778F962C108}"/>
  </hyperlinks>
  <pageMargins left="0.2" right="0.1" top="0.25" bottom="0.25" header="0.3" footer="0.3"/>
  <pageSetup paperSize="9" orientation="portrait" r:id="rId2"/>
  <drawing r:id="rId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D854F-618F-4A34-A5DA-2F8315C25382}">
  <dimension ref="A1:R26"/>
  <sheetViews>
    <sheetView topLeftCell="A7" workbookViewId="0">
      <selection activeCell="C10" sqref="C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1800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1796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1851</v>
      </c>
      <c r="D10" s="10"/>
      <c r="E10" s="10"/>
      <c r="F10" s="10"/>
    </row>
    <row r="11" spans="1:14" x14ac:dyDescent="0.25">
      <c r="B11" t="s">
        <v>11</v>
      </c>
      <c r="C11" s="10" t="s">
        <v>1852</v>
      </c>
      <c r="D11" s="11"/>
      <c r="E11" s="11"/>
      <c r="F11" s="11"/>
    </row>
    <row r="12" spans="1:14" x14ac:dyDescent="0.25">
      <c r="A12" s="12"/>
      <c r="B12" s="13"/>
      <c r="C12" s="14" t="s">
        <v>1706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1853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1797</v>
      </c>
      <c r="C16" s="53" t="s">
        <v>987</v>
      </c>
      <c r="D16" s="79">
        <v>3</v>
      </c>
      <c r="E16" s="56">
        <v>9000</v>
      </c>
      <c r="F16" s="56">
        <f t="shared" ref="F16:F17" si="0">D16*E16</f>
        <v>27000</v>
      </c>
      <c r="G16" s="56">
        <f t="shared" ref="G16:G17" si="1">F16*0.17</f>
        <v>4590</v>
      </c>
      <c r="H16" s="129">
        <f t="shared" ref="H16:H17" si="2">E16*1.17</f>
        <v>10530</v>
      </c>
      <c r="I16" s="56">
        <f t="shared" ref="I16:I17" si="3">H16*D16</f>
        <v>31590</v>
      </c>
      <c r="J16" s="83"/>
      <c r="N16" s="66"/>
    </row>
    <row r="17" spans="1:18" s="21" customFormat="1" x14ac:dyDescent="0.25">
      <c r="A17" s="53"/>
      <c r="B17" s="47"/>
      <c r="C17" s="82"/>
      <c r="D17" s="57"/>
      <c r="E17" s="56"/>
      <c r="F17" s="56">
        <f t="shared" si="0"/>
        <v>0</v>
      </c>
      <c r="G17" s="56">
        <f t="shared" si="1"/>
        <v>0</v>
      </c>
      <c r="H17" s="129">
        <f t="shared" si="2"/>
        <v>0</v>
      </c>
      <c r="I17" s="56">
        <f t="shared" si="3"/>
        <v>0</v>
      </c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3</v>
      </c>
      <c r="E18" s="35"/>
      <c r="F18" s="62">
        <f>SUM(F16:F17)</f>
        <v>27000</v>
      </c>
      <c r="G18" s="62">
        <f>SUM(G16:G17)</f>
        <v>4590</v>
      </c>
      <c r="H18" s="35"/>
      <c r="I18" s="62">
        <f>SUM(I16:I17)</f>
        <v>31590</v>
      </c>
      <c r="J18" s="37"/>
    </row>
    <row r="19" spans="1:18" ht="15.75" thickTop="1" x14ac:dyDescent="0.25">
      <c r="A19" s="33"/>
      <c r="B19" s="34" t="s">
        <v>1798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4B221A3A-6E23-4C75-A690-B9DBBBF171DD}"/>
  </hyperlinks>
  <pageMargins left="0.2" right="0.1" top="0.25" bottom="0.25" header="0.3" footer="0.3"/>
  <pageSetup paperSize="9" orientation="portrait" r:id="rId2"/>
  <drawing r:id="rId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A76F3-4AD4-468D-B96A-DC31407085FE}">
  <dimension ref="A1:R26"/>
  <sheetViews>
    <sheetView workbookViewId="0">
      <selection activeCell="A14" sqref="A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1788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1787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1789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x14ac:dyDescent="0.25">
      <c r="A16" s="53">
        <v>1</v>
      </c>
      <c r="B16" s="78" t="s">
        <v>1790</v>
      </c>
      <c r="C16" s="53" t="s">
        <v>1234</v>
      </c>
      <c r="D16" s="79">
        <v>3</v>
      </c>
      <c r="E16" s="129">
        <v>10000</v>
      </c>
      <c r="F16" s="56">
        <f>D16*E16</f>
        <v>30000</v>
      </c>
      <c r="G16" s="56">
        <f>F16*0.17</f>
        <v>5100</v>
      </c>
      <c r="H16" s="129">
        <f>E16*1.17</f>
        <v>11700</v>
      </c>
      <c r="I16" s="56">
        <f>H16*D16</f>
        <v>35100</v>
      </c>
      <c r="J16" s="131" t="s">
        <v>1791</v>
      </c>
      <c r="M16" s="21">
        <f t="shared" ref="M16:M17" si="0">440*1.02</f>
        <v>448.8</v>
      </c>
      <c r="N16" s="66" t="e">
        <f>M16-#REF!</f>
        <v>#REF!</v>
      </c>
      <c r="O16" s="21" t="e">
        <f t="shared" ref="O16:O17" si="1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ref="F17" si="2">D17*E17</f>
        <v>0</v>
      </c>
      <c r="G17" s="56">
        <f t="shared" ref="G17" si="3">F17*0.17</f>
        <v>0</v>
      </c>
      <c r="H17" s="57">
        <f t="shared" ref="H17" si="4">E17*1.17</f>
        <v>0</v>
      </c>
      <c r="I17" s="56">
        <f t="shared" ref="I17" si="5">H17*D17</f>
        <v>0</v>
      </c>
      <c r="J17" s="58"/>
      <c r="M17" s="21">
        <f t="shared" si="0"/>
        <v>448.8</v>
      </c>
      <c r="N17" s="66" t="e">
        <f>M17-#REF!</f>
        <v>#REF!</v>
      </c>
      <c r="O17" s="21" t="e">
        <f t="shared" si="1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3</v>
      </c>
      <c r="E18" s="35"/>
      <c r="F18" s="62">
        <f>SUM(F16:F17)</f>
        <v>30000</v>
      </c>
      <c r="G18" s="62">
        <f>SUM(G16:G17)</f>
        <v>5100</v>
      </c>
      <c r="H18" s="35"/>
      <c r="I18" s="62">
        <f>SUM(I16:I17)</f>
        <v>35100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1792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3F47E63C-6972-4FD2-A162-6900EA5E9A15}"/>
  </hyperlinks>
  <pageMargins left="0.2" right="0.1" top="0.25" bottom="0.25" header="0.3" footer="0.3"/>
  <pageSetup paperSize="9" orientation="portrait" r:id="rId2"/>
  <drawing r:id="rId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13406-5607-4F07-AD97-774DD674BF78}">
  <dimension ref="A1:R28"/>
  <sheetViews>
    <sheetView topLeftCell="A4" workbookViewId="0">
      <selection activeCell="A21" sqref="A2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1783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1765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1785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1319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x14ac:dyDescent="0.25">
      <c r="A16" s="53">
        <v>1</v>
      </c>
      <c r="B16" s="78" t="s">
        <v>1320</v>
      </c>
      <c r="C16" s="53" t="s">
        <v>1234</v>
      </c>
      <c r="D16" s="79">
        <v>11</v>
      </c>
      <c r="E16" s="82">
        <v>320</v>
      </c>
      <c r="F16" s="56">
        <f>D16*E16</f>
        <v>3520</v>
      </c>
      <c r="G16" s="56">
        <f>F16*0.17</f>
        <v>598.40000000000009</v>
      </c>
      <c r="H16" s="74">
        <f>E16*1.17</f>
        <v>374.4</v>
      </c>
      <c r="I16" s="56">
        <f>H16*D16</f>
        <v>4118.3999999999996</v>
      </c>
      <c r="J16" s="131" t="s">
        <v>1762</v>
      </c>
      <c r="M16" s="21">
        <f t="shared" ref="M16:M19" si="0">440*1.02</f>
        <v>448.8</v>
      </c>
      <c r="N16" s="66" t="e">
        <f>M16-#REF!</f>
        <v>#REF!</v>
      </c>
      <c r="O16" s="21" t="e">
        <f t="shared" ref="O16:O19" si="1">N16*D16</f>
        <v>#REF!</v>
      </c>
    </row>
    <row r="17" spans="1:18" s="21" customFormat="1" ht="25.5" x14ac:dyDescent="0.25">
      <c r="A17" s="53">
        <v>2</v>
      </c>
      <c r="B17" s="78" t="s">
        <v>1321</v>
      </c>
      <c r="C17" s="53" t="s">
        <v>1234</v>
      </c>
      <c r="D17" s="79">
        <v>66</v>
      </c>
      <c r="E17" s="82">
        <v>120</v>
      </c>
      <c r="F17" s="56">
        <f t="shared" ref="F17:F19" si="2">D17*E17</f>
        <v>7920</v>
      </c>
      <c r="G17" s="56">
        <f t="shared" ref="G17:G19" si="3">F17*0.17</f>
        <v>1346.4</v>
      </c>
      <c r="H17" s="74">
        <f t="shared" ref="H17:H19" si="4">E17*1.17</f>
        <v>140.39999999999998</v>
      </c>
      <c r="I17" s="56">
        <f t="shared" ref="I17:I19" si="5">H17*D17</f>
        <v>9266.3999999999978</v>
      </c>
      <c r="J17" s="131" t="s">
        <v>1762</v>
      </c>
      <c r="N17" s="66"/>
    </row>
    <row r="18" spans="1:18" s="21" customFormat="1" x14ac:dyDescent="0.25">
      <c r="A18" s="53">
        <v>3</v>
      </c>
      <c r="B18" s="78" t="s">
        <v>1322</v>
      </c>
      <c r="C18" s="53" t="s">
        <v>1234</v>
      </c>
      <c r="D18" s="79">
        <v>16</v>
      </c>
      <c r="E18" s="82">
        <v>140</v>
      </c>
      <c r="F18" s="56">
        <f t="shared" si="2"/>
        <v>2240</v>
      </c>
      <c r="G18" s="56">
        <f t="shared" si="3"/>
        <v>380.8</v>
      </c>
      <c r="H18" s="74">
        <f t="shared" si="4"/>
        <v>163.79999999999998</v>
      </c>
      <c r="I18" s="56">
        <f t="shared" si="5"/>
        <v>2620.7999999999997</v>
      </c>
      <c r="J18" s="131" t="s">
        <v>1763</v>
      </c>
      <c r="N18" s="66"/>
    </row>
    <row r="19" spans="1:18" s="21" customFormat="1" x14ac:dyDescent="0.25">
      <c r="A19" s="53"/>
      <c r="B19" s="47"/>
      <c r="C19" s="82"/>
      <c r="D19" s="57"/>
      <c r="E19" s="56"/>
      <c r="F19" s="56">
        <f t="shared" si="2"/>
        <v>0</v>
      </c>
      <c r="G19" s="56">
        <f t="shared" si="3"/>
        <v>0</v>
      </c>
      <c r="H19" s="57">
        <f t="shared" si="4"/>
        <v>0</v>
      </c>
      <c r="I19" s="56">
        <f t="shared" si="5"/>
        <v>0</v>
      </c>
      <c r="J19" s="58"/>
      <c r="M19" s="21">
        <f t="shared" si="0"/>
        <v>448.8</v>
      </c>
      <c r="N19" s="66" t="e">
        <f>M19-#REF!</f>
        <v>#REF!</v>
      </c>
      <c r="O19" s="21" t="e">
        <f t="shared" si="1"/>
        <v>#REF!</v>
      </c>
    </row>
    <row r="20" spans="1:18" ht="15.75" thickBot="1" x14ac:dyDescent="0.3">
      <c r="A20" s="33"/>
      <c r="B20" s="34" t="s">
        <v>24</v>
      </c>
      <c r="C20" s="35"/>
      <c r="D20" s="62">
        <f>SUM(D16:D19)</f>
        <v>93</v>
      </c>
      <c r="E20" s="35"/>
      <c r="F20" s="62">
        <f>SUM(F16:F19)</f>
        <v>13680</v>
      </c>
      <c r="G20" s="62">
        <f>SUM(G16:G19)</f>
        <v>2325.6000000000004</v>
      </c>
      <c r="H20" s="35"/>
      <c r="I20" s="62">
        <f>SUM(I16:I19)</f>
        <v>16005.599999999997</v>
      </c>
      <c r="J20" s="37"/>
      <c r="M20" t="e">
        <f>#REF!/117*100</f>
        <v>#REF!</v>
      </c>
      <c r="O20" t="e">
        <f>M20*1.1</f>
        <v>#REF!</v>
      </c>
    </row>
    <row r="21" spans="1:18" ht="15.75" thickTop="1" x14ac:dyDescent="0.25">
      <c r="A21" s="33"/>
      <c r="B21" s="34" t="s">
        <v>1323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 t="e">
        <f>M20*#REF!</f>
        <v>#REF!</v>
      </c>
      <c r="O22" s="65" t="e">
        <f>#REF!</f>
        <v>#REF!</v>
      </c>
      <c r="P22" s="64" t="e">
        <f>O22-M22</f>
        <v>#REF!</v>
      </c>
      <c r="Q22" s="64" t="e">
        <f>#REF!*0.045</f>
        <v>#REF!</v>
      </c>
      <c r="R22" s="64" t="e">
        <f>P22-Q22</f>
        <v>#REF!</v>
      </c>
    </row>
    <row r="23" spans="1:18" ht="30" customHeight="1" x14ac:dyDescent="0.25">
      <c r="B23" s="183" t="s">
        <v>1786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 t="e">
        <f>#REF!-#REF!</f>
        <v>#REF!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98BB02B2-03AA-45BC-A281-29A77105A970}"/>
  </hyperlinks>
  <pageMargins left="0.2" right="0.1" top="0.25" bottom="0.2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3CC59-A700-4231-B578-9BB3A382AEE2}">
  <dimension ref="A1:R29"/>
  <sheetViews>
    <sheetView topLeftCell="A5" workbookViewId="0">
      <selection activeCell="F23" sqref="F2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2291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2292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2293</v>
      </c>
      <c r="J9" s="188"/>
    </row>
    <row r="10" spans="1:14" x14ac:dyDescent="0.25">
      <c r="B10" t="s">
        <v>9</v>
      </c>
      <c r="C10" s="10" t="s">
        <v>2081</v>
      </c>
      <c r="D10" s="10"/>
      <c r="E10" s="10"/>
      <c r="F10" s="10"/>
    </row>
    <row r="11" spans="1:14" x14ac:dyDescent="0.25">
      <c r="B11" t="s">
        <v>11</v>
      </c>
      <c r="C11" s="10" t="s">
        <v>1820</v>
      </c>
      <c r="D11" s="11"/>
      <c r="E11" s="11"/>
      <c r="F11" s="11"/>
    </row>
    <row r="12" spans="1:14" x14ac:dyDescent="0.25">
      <c r="A12" s="12"/>
      <c r="B12" s="13"/>
      <c r="C12" s="14" t="s">
        <v>2082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2294</v>
      </c>
      <c r="C16" s="53" t="s">
        <v>987</v>
      </c>
      <c r="D16" s="79">
        <v>3</v>
      </c>
      <c r="E16" s="56">
        <v>4000</v>
      </c>
      <c r="F16" s="56">
        <f t="shared" ref="F16" si="0">D16*E16</f>
        <v>12000</v>
      </c>
      <c r="G16" s="56">
        <f t="shared" ref="G16" si="1">F16*0.17</f>
        <v>2040.0000000000002</v>
      </c>
      <c r="H16" s="129">
        <f t="shared" ref="H16" si="2">E16*1.17</f>
        <v>4680</v>
      </c>
      <c r="I16" s="56">
        <f t="shared" ref="I16" si="3">H16*D16</f>
        <v>14040</v>
      </c>
      <c r="J16" s="83"/>
      <c r="N16" s="66"/>
    </row>
    <row r="17" spans="1:18" s="21" customFormat="1" ht="15.75" x14ac:dyDescent="0.25">
      <c r="A17" s="53">
        <v>2</v>
      </c>
      <c r="B17" s="78" t="s">
        <v>2295</v>
      </c>
      <c r="C17" s="53" t="s">
        <v>987</v>
      </c>
      <c r="D17" s="79">
        <v>2</v>
      </c>
      <c r="E17" s="56">
        <v>9000</v>
      </c>
      <c r="F17" s="56">
        <f t="shared" ref="F17:F20" si="4">D17*E17</f>
        <v>18000</v>
      </c>
      <c r="G17" s="56">
        <f t="shared" ref="G17:G20" si="5">F17*0.17</f>
        <v>3060</v>
      </c>
      <c r="H17" s="129">
        <f t="shared" ref="H17:H20" si="6">E17*1.17</f>
        <v>10530</v>
      </c>
      <c r="I17" s="56">
        <f t="shared" ref="I17:I20" si="7">H17*D17</f>
        <v>21060</v>
      </c>
      <c r="J17" s="83"/>
      <c r="N17" s="66"/>
    </row>
    <row r="18" spans="1:18" s="21" customFormat="1" ht="15.75" x14ac:dyDescent="0.25">
      <c r="A18" s="53">
        <v>3</v>
      </c>
      <c r="B18" s="78" t="s">
        <v>2296</v>
      </c>
      <c r="C18" s="53" t="s">
        <v>987</v>
      </c>
      <c r="D18" s="79">
        <v>1</v>
      </c>
      <c r="E18" s="56">
        <v>4500</v>
      </c>
      <c r="F18" s="56">
        <f t="shared" si="4"/>
        <v>4500</v>
      </c>
      <c r="G18" s="56">
        <f t="shared" si="5"/>
        <v>765</v>
      </c>
      <c r="H18" s="129">
        <f t="shared" si="6"/>
        <v>5265</v>
      </c>
      <c r="I18" s="56">
        <f t="shared" si="7"/>
        <v>5265</v>
      </c>
      <c r="J18" s="83"/>
      <c r="N18" s="66"/>
    </row>
    <row r="19" spans="1:18" s="21" customFormat="1" ht="15.75" x14ac:dyDescent="0.25">
      <c r="A19" s="53">
        <v>4</v>
      </c>
      <c r="B19" s="78" t="s">
        <v>2297</v>
      </c>
      <c r="C19" s="53" t="s">
        <v>987</v>
      </c>
      <c r="D19" s="79">
        <v>1</v>
      </c>
      <c r="E19" s="56">
        <v>8000</v>
      </c>
      <c r="F19" s="56">
        <f t="shared" si="4"/>
        <v>8000</v>
      </c>
      <c r="G19" s="56">
        <f t="shared" si="5"/>
        <v>1360</v>
      </c>
      <c r="H19" s="129">
        <f t="shared" si="6"/>
        <v>9360</v>
      </c>
      <c r="I19" s="56">
        <f t="shared" si="7"/>
        <v>9360</v>
      </c>
      <c r="J19" s="83"/>
      <c r="N19" s="66"/>
    </row>
    <row r="20" spans="1:18" s="21" customFormat="1" ht="25.5" x14ac:dyDescent="0.25">
      <c r="A20" s="53">
        <v>5</v>
      </c>
      <c r="B20" s="78" t="s">
        <v>2298</v>
      </c>
      <c r="C20" s="53" t="s">
        <v>166</v>
      </c>
      <c r="D20" s="79">
        <v>2</v>
      </c>
      <c r="E20" s="56">
        <v>14000</v>
      </c>
      <c r="F20" s="56">
        <f t="shared" si="4"/>
        <v>28000</v>
      </c>
      <c r="G20" s="56">
        <f t="shared" si="5"/>
        <v>4760</v>
      </c>
      <c r="H20" s="129">
        <f t="shared" si="6"/>
        <v>16379.999999999998</v>
      </c>
      <c r="I20" s="56">
        <f t="shared" si="7"/>
        <v>32759.999999999996</v>
      </c>
      <c r="J20" s="83"/>
      <c r="N20" s="66"/>
    </row>
    <row r="21" spans="1:18" ht="15.75" thickBot="1" x14ac:dyDescent="0.3">
      <c r="A21" s="33"/>
      <c r="B21" s="34" t="s">
        <v>24</v>
      </c>
      <c r="C21" s="35"/>
      <c r="D21" s="62">
        <f>SUM(D16:D20)</f>
        <v>9</v>
      </c>
      <c r="E21" s="35"/>
      <c r="F21" s="62">
        <f>SUM(F16:F20)</f>
        <v>70500</v>
      </c>
      <c r="G21" s="62">
        <f>SUM(G16:G20)</f>
        <v>11985</v>
      </c>
      <c r="H21" s="35"/>
      <c r="I21" s="62">
        <f>SUM(I16:I20)</f>
        <v>82485</v>
      </c>
      <c r="J21" s="37"/>
    </row>
    <row r="22" spans="1:18" ht="15.75" thickTop="1" x14ac:dyDescent="0.25">
      <c r="A22" s="33"/>
      <c r="B22" s="34" t="s">
        <v>2299</v>
      </c>
      <c r="C22" s="35"/>
      <c r="D22" s="35"/>
      <c r="E22" s="35"/>
      <c r="F22" s="35"/>
      <c r="G22" s="35"/>
      <c r="H22" s="35"/>
      <c r="I22" s="35"/>
      <c r="J22" s="37"/>
    </row>
    <row r="23" spans="1:18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  <c r="M23" s="64"/>
      <c r="O23" s="65"/>
      <c r="P23" s="64"/>
      <c r="Q23" s="64"/>
      <c r="R23" s="64"/>
    </row>
    <row r="24" spans="1:18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  <c r="P24" s="64"/>
      <c r="R24" s="65"/>
    </row>
    <row r="25" spans="1:18" x14ac:dyDescent="0.25">
      <c r="B25" t="s">
        <v>634</v>
      </c>
    </row>
    <row r="28" spans="1:18" x14ac:dyDescent="0.25">
      <c r="B28" t="s">
        <v>28</v>
      </c>
      <c r="H28" t="s">
        <v>28</v>
      </c>
    </row>
    <row r="29" spans="1:18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C215A4F4-0B9B-4393-93C7-9E090388A8BB}"/>
  </hyperlinks>
  <pageMargins left="0.2" right="0.1" top="0.25" bottom="0.25" header="0.3" footer="0.3"/>
  <pageSetup paperSize="9" orientation="portrait" r:id="rId2"/>
  <drawing r:id="rId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F3369-CB4B-43C0-AF00-8B226C2F3B66}">
  <dimension ref="A1:R28"/>
  <sheetViews>
    <sheetView workbookViewId="0">
      <selection activeCell="B13" sqref="B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1765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1784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1319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x14ac:dyDescent="0.25">
      <c r="A16" s="53">
        <v>1</v>
      </c>
      <c r="B16" s="78" t="s">
        <v>1320</v>
      </c>
      <c r="C16" s="53" t="s">
        <v>1234</v>
      </c>
      <c r="D16" s="79">
        <v>11</v>
      </c>
      <c r="E16" s="82">
        <v>320</v>
      </c>
      <c r="F16" s="56">
        <f>D16*E16</f>
        <v>3520</v>
      </c>
      <c r="G16" s="56">
        <f>F16*0.17</f>
        <v>598.40000000000009</v>
      </c>
      <c r="H16" s="74">
        <f>E16*1.17</f>
        <v>374.4</v>
      </c>
      <c r="I16" s="56">
        <f>H16*D16</f>
        <v>4118.3999999999996</v>
      </c>
      <c r="J16" s="131" t="s">
        <v>1762</v>
      </c>
      <c r="M16" s="21">
        <f t="shared" ref="M16:M19" si="0">440*1.02</f>
        <v>448.8</v>
      </c>
      <c r="N16" s="66" t="e">
        <f>M16-#REF!</f>
        <v>#REF!</v>
      </c>
      <c r="O16" s="21" t="e">
        <f t="shared" ref="O16:O19" si="1">N16*D16</f>
        <v>#REF!</v>
      </c>
    </row>
    <row r="17" spans="1:18" s="21" customFormat="1" ht="25.5" x14ac:dyDescent="0.25">
      <c r="A17" s="53">
        <v>2</v>
      </c>
      <c r="B17" s="78" t="s">
        <v>1321</v>
      </c>
      <c r="C17" s="53" t="s">
        <v>1234</v>
      </c>
      <c r="D17" s="79">
        <v>66</v>
      </c>
      <c r="E17" s="82">
        <v>140</v>
      </c>
      <c r="F17" s="56">
        <f t="shared" ref="F17:F19" si="2">D17*E17</f>
        <v>9240</v>
      </c>
      <c r="G17" s="56">
        <f t="shared" ref="G17:G19" si="3">F17*0.17</f>
        <v>1570.8000000000002</v>
      </c>
      <c r="H17" s="74">
        <f t="shared" ref="H17:H19" si="4">E17*1.17</f>
        <v>163.79999999999998</v>
      </c>
      <c r="I17" s="56">
        <f t="shared" ref="I17:I19" si="5">H17*D17</f>
        <v>10810.8</v>
      </c>
      <c r="J17" s="131" t="s">
        <v>1762</v>
      </c>
      <c r="N17" s="66"/>
    </row>
    <row r="18" spans="1:18" s="21" customFormat="1" x14ac:dyDescent="0.25">
      <c r="A18" s="53">
        <v>3</v>
      </c>
      <c r="B18" s="78" t="s">
        <v>1322</v>
      </c>
      <c r="C18" s="53" t="s">
        <v>1234</v>
      </c>
      <c r="D18" s="79">
        <v>16</v>
      </c>
      <c r="E18" s="82">
        <v>140</v>
      </c>
      <c r="F18" s="56">
        <f t="shared" si="2"/>
        <v>2240</v>
      </c>
      <c r="G18" s="56">
        <f t="shared" si="3"/>
        <v>380.8</v>
      </c>
      <c r="H18" s="74">
        <f t="shared" si="4"/>
        <v>163.79999999999998</v>
      </c>
      <c r="I18" s="56">
        <f t="shared" si="5"/>
        <v>2620.7999999999997</v>
      </c>
      <c r="J18" s="131" t="s">
        <v>1763</v>
      </c>
      <c r="N18" s="66"/>
    </row>
    <row r="19" spans="1:18" s="21" customFormat="1" x14ac:dyDescent="0.25">
      <c r="A19" s="53"/>
      <c r="B19" s="47"/>
      <c r="C19" s="82"/>
      <c r="D19" s="57"/>
      <c r="E19" s="56"/>
      <c r="F19" s="56">
        <f t="shared" si="2"/>
        <v>0</v>
      </c>
      <c r="G19" s="56">
        <f t="shared" si="3"/>
        <v>0</v>
      </c>
      <c r="H19" s="57">
        <f t="shared" si="4"/>
        <v>0</v>
      </c>
      <c r="I19" s="56">
        <f t="shared" si="5"/>
        <v>0</v>
      </c>
      <c r="J19" s="58"/>
      <c r="M19" s="21">
        <f t="shared" si="0"/>
        <v>448.8</v>
      </c>
      <c r="N19" s="66" t="e">
        <f>M19-#REF!</f>
        <v>#REF!</v>
      </c>
      <c r="O19" s="21" t="e">
        <f t="shared" si="1"/>
        <v>#REF!</v>
      </c>
    </row>
    <row r="20" spans="1:18" ht="15.75" thickBot="1" x14ac:dyDescent="0.3">
      <c r="A20" s="33"/>
      <c r="B20" s="34" t="s">
        <v>24</v>
      </c>
      <c r="C20" s="35"/>
      <c r="D20" s="62">
        <f>SUM(D16:D19)</f>
        <v>93</v>
      </c>
      <c r="E20" s="35"/>
      <c r="F20" s="62">
        <f>SUM(F16:F19)</f>
        <v>15000</v>
      </c>
      <c r="G20" s="62">
        <f>SUM(G16:G19)</f>
        <v>2550.0000000000005</v>
      </c>
      <c r="H20" s="35"/>
      <c r="I20" s="62">
        <f>SUM(I16:I19)</f>
        <v>17550</v>
      </c>
      <c r="J20" s="37"/>
      <c r="M20" t="e">
        <f>#REF!/117*100</f>
        <v>#REF!</v>
      </c>
      <c r="O20" t="e">
        <f>M20*1.1</f>
        <v>#REF!</v>
      </c>
    </row>
    <row r="21" spans="1:18" ht="15.75" thickTop="1" x14ac:dyDescent="0.25">
      <c r="A21" s="33"/>
      <c r="B21" s="34" t="s">
        <v>1782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 t="e">
        <f>M20*#REF!</f>
        <v>#REF!</v>
      </c>
      <c r="O22" s="65" t="e">
        <f>#REF!</f>
        <v>#REF!</v>
      </c>
      <c r="P22" s="64" t="e">
        <f>O22-M22</f>
        <v>#REF!</v>
      </c>
      <c r="Q22" s="64" t="e">
        <f>#REF!*0.045</f>
        <v>#REF!</v>
      </c>
      <c r="R22" s="64" t="e">
        <f>P22-Q22</f>
        <v>#REF!</v>
      </c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 t="e">
        <f>#REF!-#REF!</f>
        <v>#REF!</v>
      </c>
    </row>
    <row r="24" spans="1:18" x14ac:dyDescent="0.25">
      <c r="B24" t="s">
        <v>634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C27EA3D5-1EF5-4AE6-AE5D-76A16DB1A9B2}"/>
  </hyperlinks>
  <pageMargins left="0.2" right="0.1" top="0.25" bottom="0.25" header="0.3" footer="0.3"/>
  <pageSetup paperSize="9" orientation="portrait" r:id="rId2"/>
  <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989F9-11EC-4723-9D68-F9907E6DD123}">
  <dimension ref="A1:J26"/>
  <sheetViews>
    <sheetView workbookViewId="0">
      <selection activeCell="I20" sqref="I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1766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1779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1414</v>
      </c>
      <c r="D10" s="10"/>
      <c r="E10" s="10"/>
      <c r="F10" s="10"/>
    </row>
    <row r="11" spans="1:10" x14ac:dyDescent="0.25">
      <c r="B11" t="s">
        <v>11</v>
      </c>
      <c r="C11" s="10" t="s">
        <v>52</v>
      </c>
      <c r="D11" s="11"/>
      <c r="E11" s="11"/>
      <c r="F11" s="11"/>
    </row>
    <row r="12" spans="1:10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1413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1780</v>
      </c>
      <c r="C16" s="54" t="s">
        <v>23</v>
      </c>
      <c r="D16" s="72">
        <v>25</v>
      </c>
      <c r="E16" s="56">
        <v>620</v>
      </c>
      <c r="F16" s="56">
        <f t="shared" ref="F16:F17" si="0">D16*E16</f>
        <v>15500</v>
      </c>
      <c r="G16" s="56">
        <f t="shared" ref="G16:G17" si="1">F16*0.17</f>
        <v>2635</v>
      </c>
      <c r="H16" s="84">
        <f t="shared" ref="H16:H17" si="2">E16*1.17</f>
        <v>725.4</v>
      </c>
      <c r="I16" s="56">
        <f t="shared" ref="I16:I17" si="3">H16*D16</f>
        <v>18135</v>
      </c>
      <c r="J16" s="58"/>
    </row>
    <row r="17" spans="1:10" s="21" customFormat="1" x14ac:dyDescent="0.25">
      <c r="A17" s="53"/>
      <c r="B17" s="47"/>
      <c r="C17" s="54"/>
      <c r="D17" s="72"/>
      <c r="E17" s="56"/>
      <c r="F17" s="56">
        <f t="shared" si="0"/>
        <v>0</v>
      </c>
      <c r="G17" s="56">
        <f t="shared" si="1"/>
        <v>0</v>
      </c>
      <c r="H17" s="84">
        <f t="shared" si="2"/>
        <v>0</v>
      </c>
      <c r="I17" s="56">
        <f t="shared" si="3"/>
        <v>0</v>
      </c>
      <c r="J17" s="58"/>
    </row>
    <row r="18" spans="1:10" ht="15.75" thickBot="1" x14ac:dyDescent="0.3">
      <c r="A18" s="33"/>
      <c r="B18" s="34" t="s">
        <v>24</v>
      </c>
      <c r="C18" s="35"/>
      <c r="D18" s="62">
        <f>SUM(D16:D16)</f>
        <v>25</v>
      </c>
      <c r="E18" s="35"/>
      <c r="F18" s="62">
        <f>SUM(F16:F16)</f>
        <v>15500</v>
      </c>
      <c r="G18" s="62">
        <f>SUM(G16:G16)</f>
        <v>2635</v>
      </c>
      <c r="H18" s="35"/>
      <c r="I18" s="62">
        <f>SUM(I16:I16)</f>
        <v>18135</v>
      </c>
      <c r="J18" s="37"/>
    </row>
    <row r="19" spans="1:10" ht="15.75" thickTop="1" x14ac:dyDescent="0.25">
      <c r="A19" s="33"/>
      <c r="B19" s="34" t="s">
        <v>1781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634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B7A0E16A-6384-4D87-B9D9-A05DB5AEC517}"/>
  </hyperlinks>
  <pageMargins left="0.2" right="0.1" top="0.25" bottom="0.25" header="0.3" footer="0.3"/>
  <pageSetup paperSize="9" orientation="portrait" r:id="rId2"/>
  <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6207E-8308-419C-9FAE-BAE5FEB7D990}">
  <dimension ref="A1:J29"/>
  <sheetViews>
    <sheetView topLeftCell="A5" workbookViewId="0">
      <selection activeCell="C23" sqref="C2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1742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1775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1414</v>
      </c>
      <c r="D10" s="10"/>
      <c r="E10" s="10"/>
      <c r="F10" s="10"/>
    </row>
    <row r="11" spans="1:10" x14ac:dyDescent="0.25">
      <c r="B11" t="s">
        <v>11</v>
      </c>
      <c r="C11" s="10" t="s">
        <v>52</v>
      </c>
      <c r="D11" s="11"/>
      <c r="E11" s="11"/>
      <c r="F11" s="11"/>
    </row>
    <row r="12" spans="1:10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1413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71</v>
      </c>
      <c r="C16" s="54" t="s">
        <v>23</v>
      </c>
      <c r="D16" s="72">
        <v>400</v>
      </c>
      <c r="E16" s="56">
        <v>20</v>
      </c>
      <c r="F16" s="56">
        <f t="shared" ref="F16:F20" si="0">D16*E16</f>
        <v>8000</v>
      </c>
      <c r="G16" s="56">
        <f t="shared" ref="G16:G20" si="1">F16*0.17</f>
        <v>1360</v>
      </c>
      <c r="H16" s="84">
        <f t="shared" ref="H16:H20" si="2">E16*1.17</f>
        <v>23.4</v>
      </c>
      <c r="I16" s="56">
        <f t="shared" ref="I16:I20" si="3">H16*D16</f>
        <v>9360</v>
      </c>
      <c r="J16" s="58"/>
    </row>
    <row r="17" spans="1:10" s="21" customFormat="1" x14ac:dyDescent="0.25">
      <c r="A17" s="53">
        <f t="shared" ref="A17:A19" si="4">A16+1</f>
        <v>2</v>
      </c>
      <c r="B17" s="47" t="s">
        <v>1748</v>
      </c>
      <c r="C17" s="54" t="s">
        <v>165</v>
      </c>
      <c r="D17" s="72">
        <v>15</v>
      </c>
      <c r="E17" s="56">
        <v>130</v>
      </c>
      <c r="F17" s="56">
        <f t="shared" si="0"/>
        <v>1950</v>
      </c>
      <c r="G17" s="56">
        <f t="shared" si="1"/>
        <v>331.5</v>
      </c>
      <c r="H17" s="84">
        <f t="shared" si="2"/>
        <v>152.1</v>
      </c>
      <c r="I17" s="56">
        <f t="shared" si="3"/>
        <v>2281.5</v>
      </c>
      <c r="J17" s="58"/>
    </row>
    <row r="18" spans="1:10" s="21" customFormat="1" x14ac:dyDescent="0.25">
      <c r="A18" s="53">
        <f t="shared" si="4"/>
        <v>3</v>
      </c>
      <c r="B18" s="47" t="s">
        <v>1749</v>
      </c>
      <c r="C18" s="54" t="s">
        <v>165</v>
      </c>
      <c r="D18" s="72">
        <v>10</v>
      </c>
      <c r="E18" s="56">
        <v>100</v>
      </c>
      <c r="F18" s="56">
        <f t="shared" si="0"/>
        <v>1000</v>
      </c>
      <c r="G18" s="56">
        <f t="shared" si="1"/>
        <v>170</v>
      </c>
      <c r="H18" s="84">
        <f t="shared" si="2"/>
        <v>117</v>
      </c>
      <c r="I18" s="56">
        <f t="shared" si="3"/>
        <v>1170</v>
      </c>
      <c r="J18" s="58"/>
    </row>
    <row r="19" spans="1:10" s="21" customFormat="1" x14ac:dyDescent="0.25">
      <c r="A19" s="53">
        <f t="shared" si="4"/>
        <v>4</v>
      </c>
      <c r="B19" s="47" t="s">
        <v>1750</v>
      </c>
      <c r="C19" s="54" t="s">
        <v>76</v>
      </c>
      <c r="D19" s="72">
        <v>20</v>
      </c>
      <c r="E19" s="56">
        <v>90</v>
      </c>
      <c r="F19" s="56">
        <f t="shared" si="0"/>
        <v>1800</v>
      </c>
      <c r="G19" s="56">
        <f t="shared" si="1"/>
        <v>306</v>
      </c>
      <c r="H19" s="84">
        <f t="shared" si="2"/>
        <v>105.3</v>
      </c>
      <c r="I19" s="56">
        <f t="shared" si="3"/>
        <v>2106</v>
      </c>
      <c r="J19" s="58"/>
    </row>
    <row r="20" spans="1:10" s="21" customFormat="1" x14ac:dyDescent="0.25">
      <c r="A20" s="53"/>
      <c r="B20" s="47"/>
      <c r="C20" s="54"/>
      <c r="D20" s="72"/>
      <c r="E20" s="56"/>
      <c r="F20" s="56">
        <f t="shared" si="0"/>
        <v>0</v>
      </c>
      <c r="G20" s="56">
        <f t="shared" si="1"/>
        <v>0</v>
      </c>
      <c r="H20" s="84">
        <f t="shared" si="2"/>
        <v>0</v>
      </c>
      <c r="I20" s="56">
        <f t="shared" si="3"/>
        <v>0</v>
      </c>
      <c r="J20" s="58"/>
    </row>
    <row r="21" spans="1:10" ht="15.75" thickBot="1" x14ac:dyDescent="0.3">
      <c r="A21" s="33"/>
      <c r="B21" s="34" t="s">
        <v>24</v>
      </c>
      <c r="C21" s="35"/>
      <c r="D21" s="62">
        <f>SUM(D16:D19)</f>
        <v>445</v>
      </c>
      <c r="E21" s="35"/>
      <c r="F21" s="62">
        <f>SUM(F16:F19)</f>
        <v>12750</v>
      </c>
      <c r="G21" s="62">
        <f>SUM(G16:G19)</f>
        <v>2167.5</v>
      </c>
      <c r="H21" s="35"/>
      <c r="I21" s="62">
        <f>SUM(I16:I19)</f>
        <v>14917.5</v>
      </c>
      <c r="J21" s="37"/>
    </row>
    <row r="22" spans="1:10" ht="15.75" thickTop="1" x14ac:dyDescent="0.25">
      <c r="A22" s="33"/>
      <c r="B22" s="34" t="s">
        <v>1778</v>
      </c>
      <c r="C22" s="35"/>
      <c r="D22" s="35"/>
      <c r="E22" s="35"/>
      <c r="F22" s="35"/>
      <c r="G22" s="35"/>
      <c r="H22" s="35"/>
      <c r="I22" s="35"/>
      <c r="J22" s="37"/>
    </row>
    <row r="23" spans="1:10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</row>
    <row r="24" spans="1:10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</row>
    <row r="25" spans="1:10" x14ac:dyDescent="0.25">
      <c r="B25" t="s">
        <v>634</v>
      </c>
    </row>
    <row r="28" spans="1:10" x14ac:dyDescent="0.25">
      <c r="B28" t="s">
        <v>28</v>
      </c>
      <c r="H28" t="s">
        <v>28</v>
      </c>
    </row>
    <row r="29" spans="1:10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6E83ADE5-FD0E-4464-BA40-74944332BD0A}"/>
  </hyperlinks>
  <pageMargins left="0.2" right="0.1" top="0.25" bottom="0.25" header="0.3" footer="0.3"/>
  <pageSetup paperSize="9" orientation="portrait" r:id="rId2"/>
  <drawing r:id="rId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CF2EC-1A13-49EC-8F5F-F4C895CFFD58}">
  <dimension ref="A1:R26"/>
  <sheetViews>
    <sheetView topLeftCell="A6" workbookViewId="0">
      <selection activeCell="C7" sqref="C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8" width="8.5703125" customWidth="1"/>
    <col min="9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1766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1773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1774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417</v>
      </c>
      <c r="C16" s="53" t="s">
        <v>987</v>
      </c>
      <c r="D16" s="79">
        <v>75</v>
      </c>
      <c r="E16" s="56">
        <v>168</v>
      </c>
      <c r="F16" s="56">
        <f t="shared" ref="F16" si="0">D16*E16</f>
        <v>12600</v>
      </c>
      <c r="G16" s="56">
        <f>F16*0.17</f>
        <v>2142</v>
      </c>
      <c r="H16" s="57">
        <f>E16*1.17</f>
        <v>196.56</v>
      </c>
      <c r="I16" s="56">
        <f t="shared" ref="I16" si="1">H16*D16</f>
        <v>14742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75</v>
      </c>
      <c r="E18" s="35"/>
      <c r="F18" s="62">
        <f>SUM(F16:F17)</f>
        <v>12600</v>
      </c>
      <c r="G18" s="62">
        <f>SUM(G16:G17)</f>
        <v>2142</v>
      </c>
      <c r="H18" s="35"/>
      <c r="I18" s="62">
        <f>SUM(I16:I17)</f>
        <v>14742</v>
      </c>
      <c r="J18" s="37"/>
    </row>
    <row r="19" spans="1:18" ht="15.75" thickTop="1" x14ac:dyDescent="0.25">
      <c r="A19" s="33"/>
      <c r="B19" s="34" t="s">
        <v>1776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16B0B417-C025-4DD5-9939-52A63A17E382}"/>
  </hyperlinks>
  <pageMargins left="0.2" right="0.1" top="0.25" bottom="0.25" header="0.3" footer="0.3"/>
  <pageSetup paperSize="9" orientation="portrait" r:id="rId2"/>
  <drawing r:id="rId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13056-63A2-44CF-B662-67590EBB1FC0}">
  <dimension ref="A1:R29"/>
  <sheetViews>
    <sheetView topLeftCell="A7" workbookViewId="0">
      <selection activeCell="D20" sqref="D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8" width="8.5703125" customWidth="1"/>
    <col min="9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1766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1767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1768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1769</v>
      </c>
      <c r="C16" s="53" t="s">
        <v>987</v>
      </c>
      <c r="D16" s="79">
        <v>50</v>
      </c>
      <c r="E16" s="56">
        <v>108</v>
      </c>
      <c r="F16" s="56">
        <f t="shared" ref="F16:F18" si="0">D16*E16</f>
        <v>5400</v>
      </c>
      <c r="G16" s="56">
        <f>F16*0.17</f>
        <v>918.00000000000011</v>
      </c>
      <c r="H16" s="57">
        <f>E16*1.17</f>
        <v>126.35999999999999</v>
      </c>
      <c r="I16" s="56">
        <f t="shared" ref="I16:I18" si="1">H16*D16</f>
        <v>6317.9999999999991</v>
      </c>
      <c r="J16" s="83"/>
      <c r="N16" s="66"/>
    </row>
    <row r="17" spans="1:18" s="21" customFormat="1" ht="15.75" x14ac:dyDescent="0.25">
      <c r="A17" s="53">
        <v>2</v>
      </c>
      <c r="B17" s="78" t="s">
        <v>1322</v>
      </c>
      <c r="C17" s="53" t="s">
        <v>987</v>
      </c>
      <c r="D17" s="79">
        <v>6</v>
      </c>
      <c r="E17" s="56">
        <v>148</v>
      </c>
      <c r="F17" s="56">
        <f t="shared" ref="F17" si="2">D17*E17</f>
        <v>888</v>
      </c>
      <c r="G17" s="56">
        <f>F17*0.17</f>
        <v>150.96</v>
      </c>
      <c r="H17" s="57">
        <f>E17*1.17</f>
        <v>173.16</v>
      </c>
      <c r="I17" s="56">
        <f t="shared" ref="I17" si="3">H17*D17</f>
        <v>1038.96</v>
      </c>
      <c r="J17" s="83"/>
      <c r="N17" s="66"/>
    </row>
    <row r="18" spans="1:18" s="21" customFormat="1" ht="15.75" x14ac:dyDescent="0.25">
      <c r="A18" s="53">
        <v>3</v>
      </c>
      <c r="B18" s="78" t="s">
        <v>1770</v>
      </c>
      <c r="C18" s="53" t="s">
        <v>987</v>
      </c>
      <c r="D18" s="79">
        <v>3</v>
      </c>
      <c r="E18" s="56">
        <v>950</v>
      </c>
      <c r="F18" s="56">
        <f t="shared" si="0"/>
        <v>2850</v>
      </c>
      <c r="G18" s="56">
        <f>F18*0.17</f>
        <v>484.50000000000006</v>
      </c>
      <c r="H18" s="57">
        <f>E18*1.17</f>
        <v>1111.5</v>
      </c>
      <c r="I18" s="56">
        <f t="shared" si="1"/>
        <v>3334.5</v>
      </c>
      <c r="J18" s="83"/>
      <c r="N18" s="66"/>
    </row>
    <row r="19" spans="1:18" s="21" customFormat="1" ht="15.75" x14ac:dyDescent="0.25">
      <c r="A19" s="53">
        <v>4</v>
      </c>
      <c r="B19" s="78" t="s">
        <v>1771</v>
      </c>
      <c r="C19" s="53" t="s">
        <v>987</v>
      </c>
      <c r="D19" s="79">
        <v>60</v>
      </c>
      <c r="E19" s="56">
        <v>25</v>
      </c>
      <c r="F19" s="56">
        <f t="shared" ref="F19" si="4">D19*E19</f>
        <v>1500</v>
      </c>
      <c r="G19" s="56">
        <f>F19*0.17</f>
        <v>255.00000000000003</v>
      </c>
      <c r="H19" s="57">
        <f>E19*1.17</f>
        <v>29.25</v>
      </c>
      <c r="I19" s="56">
        <f t="shared" ref="I19" si="5">H19*D19</f>
        <v>1755</v>
      </c>
      <c r="J19" s="83"/>
      <c r="N19" s="66"/>
    </row>
    <row r="20" spans="1:18" s="21" customFormat="1" x14ac:dyDescent="0.25">
      <c r="A20" s="53"/>
      <c r="B20" s="47"/>
      <c r="C20" s="53"/>
      <c r="D20" s="79"/>
      <c r="E20" s="56"/>
      <c r="F20" s="56"/>
      <c r="G20" s="56"/>
      <c r="H20" s="57"/>
      <c r="I20" s="56"/>
      <c r="J20" s="58"/>
      <c r="N20" s="66"/>
    </row>
    <row r="21" spans="1:18" ht="15.75" thickBot="1" x14ac:dyDescent="0.3">
      <c r="A21" s="33"/>
      <c r="B21" s="34" t="s">
        <v>24</v>
      </c>
      <c r="C21" s="35"/>
      <c r="D21" s="62">
        <f>SUM(D16:D20)</f>
        <v>119</v>
      </c>
      <c r="E21" s="35"/>
      <c r="F21" s="62">
        <f>SUM(F16:F20)</f>
        <v>10638</v>
      </c>
      <c r="G21" s="62">
        <f>SUM(G16:G20)</f>
        <v>1808.46</v>
      </c>
      <c r="H21" s="35"/>
      <c r="I21" s="62">
        <f>SUM(I16:I20)</f>
        <v>12446.46</v>
      </c>
      <c r="J21" s="37"/>
    </row>
    <row r="22" spans="1:18" ht="15.75" thickTop="1" x14ac:dyDescent="0.25">
      <c r="A22" s="33"/>
      <c r="B22" s="34" t="s">
        <v>1772</v>
      </c>
      <c r="C22" s="35"/>
      <c r="D22" s="35"/>
      <c r="E22" s="35"/>
      <c r="F22" s="35"/>
      <c r="G22" s="35"/>
      <c r="H22" s="35"/>
      <c r="I22" s="35"/>
      <c r="J22" s="37"/>
    </row>
    <row r="23" spans="1:18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  <c r="M23" s="64"/>
      <c r="O23" s="65"/>
      <c r="P23" s="64"/>
      <c r="Q23" s="64"/>
      <c r="R23" s="64"/>
    </row>
    <row r="24" spans="1:18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  <c r="P24" s="64"/>
      <c r="R24" s="65"/>
    </row>
    <row r="25" spans="1:18" x14ac:dyDescent="0.25">
      <c r="B25" t="s">
        <v>634</v>
      </c>
    </row>
    <row r="28" spans="1:18" x14ac:dyDescent="0.25">
      <c r="B28" t="s">
        <v>28</v>
      </c>
      <c r="H28" t="s">
        <v>28</v>
      </c>
    </row>
    <row r="29" spans="1:18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52FA320E-28A6-4D8D-BE6D-A924B053D421}"/>
  </hyperlinks>
  <pageMargins left="0.2" right="0.1" top="0.25" bottom="0.25" header="0.3" footer="0.3"/>
  <pageSetup paperSize="9" orientation="portrait" r:id="rId2"/>
  <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8267E-851E-48F1-9F66-67447FE261F4}">
  <dimension ref="A1:R32"/>
  <sheetViews>
    <sheetView topLeftCell="A5" workbookViewId="0">
      <selection activeCell="B22" sqref="B2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1765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1756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1757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6" t="s">
        <v>1636</v>
      </c>
      <c r="M15" s="21" t="s">
        <v>738</v>
      </c>
    </row>
    <row r="16" spans="1:15" s="21" customFormat="1" x14ac:dyDescent="0.25">
      <c r="A16" s="53">
        <v>2</v>
      </c>
      <c r="B16" s="47" t="s">
        <v>1259</v>
      </c>
      <c r="C16" s="53" t="s">
        <v>1234</v>
      </c>
      <c r="D16" s="79">
        <v>14</v>
      </c>
      <c r="E16" s="82">
        <v>210</v>
      </c>
      <c r="F16" s="56">
        <f t="shared" ref="F16:F23" si="0">D16*E16</f>
        <v>2940</v>
      </c>
      <c r="G16" s="56">
        <f t="shared" ref="G16:G23" si="1">F16*0.17</f>
        <v>499.8</v>
      </c>
      <c r="H16" s="57">
        <f t="shared" ref="H16:H23" si="2">E16*1.17</f>
        <v>245.7</v>
      </c>
      <c r="I16" s="56">
        <f t="shared" ref="I16:I23" si="3">H16*D16</f>
        <v>3439.7999999999997</v>
      </c>
      <c r="J16" s="131" t="s">
        <v>1760</v>
      </c>
      <c r="M16" s="21">
        <f t="shared" ref="M16:M23" si="4">440*1.02</f>
        <v>448.8</v>
      </c>
      <c r="N16" s="66" t="e">
        <f>M16-#REF!</f>
        <v>#REF!</v>
      </c>
      <c r="O16" s="21" t="e">
        <f t="shared" ref="O16:O23" si="5">N16*D16</f>
        <v>#REF!</v>
      </c>
    </row>
    <row r="17" spans="1:18" s="21" customFormat="1" x14ac:dyDescent="0.25">
      <c r="A17" s="53">
        <v>3</v>
      </c>
      <c r="B17" s="47" t="s">
        <v>1758</v>
      </c>
      <c r="C17" s="53" t="s">
        <v>1234</v>
      </c>
      <c r="D17" s="79">
        <v>53</v>
      </c>
      <c r="E17" s="82">
        <v>25</v>
      </c>
      <c r="F17" s="56">
        <f t="shared" si="0"/>
        <v>1325</v>
      </c>
      <c r="G17" s="56">
        <f t="shared" si="1"/>
        <v>225.25000000000003</v>
      </c>
      <c r="H17" s="57">
        <f t="shared" si="2"/>
        <v>29.25</v>
      </c>
      <c r="I17" s="56">
        <f t="shared" si="3"/>
        <v>1550.25</v>
      </c>
      <c r="J17" s="131" t="s">
        <v>1760</v>
      </c>
      <c r="M17" s="21">
        <f t="shared" si="4"/>
        <v>448.8</v>
      </c>
      <c r="N17" s="66" t="e">
        <f>M17-#REF!</f>
        <v>#REF!</v>
      </c>
      <c r="O17" s="21" t="e">
        <f t="shared" si="5"/>
        <v>#REF!</v>
      </c>
    </row>
    <row r="18" spans="1:18" s="21" customFormat="1" x14ac:dyDescent="0.25">
      <c r="A18" s="53">
        <v>4</v>
      </c>
      <c r="B18" s="47" t="s">
        <v>1759</v>
      </c>
      <c r="C18" s="53" t="s">
        <v>1234</v>
      </c>
      <c r="D18" s="79">
        <v>30</v>
      </c>
      <c r="E18" s="82">
        <v>140</v>
      </c>
      <c r="F18" s="56">
        <f t="shared" ref="F18:F19" si="6">D18*E18</f>
        <v>4200</v>
      </c>
      <c r="G18" s="56">
        <f t="shared" ref="G18:G19" si="7">F18*0.17</f>
        <v>714</v>
      </c>
      <c r="H18" s="57">
        <f t="shared" ref="H18:H19" si="8">E18*1.17</f>
        <v>163.79999999999998</v>
      </c>
      <c r="I18" s="56">
        <f t="shared" ref="I18:I19" si="9">H18*D18</f>
        <v>4913.9999999999991</v>
      </c>
      <c r="J18" s="131" t="s">
        <v>1762</v>
      </c>
      <c r="M18" s="21">
        <f t="shared" si="4"/>
        <v>448.8</v>
      </c>
      <c r="N18" s="66" t="e">
        <f>M18-#REF!</f>
        <v>#REF!</v>
      </c>
      <c r="O18" s="21" t="e">
        <f t="shared" ref="O18:O19" si="10">N18*D18</f>
        <v>#REF!</v>
      </c>
    </row>
    <row r="19" spans="1:18" s="21" customFormat="1" x14ac:dyDescent="0.25">
      <c r="A19" s="53">
        <v>5</v>
      </c>
      <c r="B19" s="47" t="s">
        <v>176</v>
      </c>
      <c r="C19" s="53" t="s">
        <v>1234</v>
      </c>
      <c r="D19" s="79">
        <v>13</v>
      </c>
      <c r="E19" s="82">
        <v>320</v>
      </c>
      <c r="F19" s="56">
        <f t="shared" si="6"/>
        <v>4160</v>
      </c>
      <c r="G19" s="56">
        <f t="shared" si="7"/>
        <v>707.2</v>
      </c>
      <c r="H19" s="57">
        <f t="shared" si="8"/>
        <v>374.4</v>
      </c>
      <c r="I19" s="56">
        <f t="shared" si="9"/>
        <v>4867.2</v>
      </c>
      <c r="J19" s="131" t="s">
        <v>1762</v>
      </c>
      <c r="M19" s="21">
        <f t="shared" si="4"/>
        <v>448.8</v>
      </c>
      <c r="N19" s="66" t="e">
        <f>M19-#REF!</f>
        <v>#REF!</v>
      </c>
      <c r="O19" s="21" t="e">
        <f t="shared" si="10"/>
        <v>#REF!</v>
      </c>
    </row>
    <row r="20" spans="1:18" s="21" customFormat="1" x14ac:dyDescent="0.25">
      <c r="A20" s="53">
        <v>6</v>
      </c>
      <c r="B20" s="47" t="s">
        <v>1458</v>
      </c>
      <c r="C20" s="53" t="s">
        <v>1234</v>
      </c>
      <c r="D20" s="79">
        <v>35</v>
      </c>
      <c r="E20" s="82">
        <v>170</v>
      </c>
      <c r="F20" s="56">
        <f t="shared" ref="F20:F21" si="11">D20*E20</f>
        <v>5950</v>
      </c>
      <c r="G20" s="56">
        <f t="shared" ref="G20:G21" si="12">F20*0.17</f>
        <v>1011.5000000000001</v>
      </c>
      <c r="H20" s="57">
        <f t="shared" ref="H20:H21" si="13">E20*1.17</f>
        <v>198.89999999999998</v>
      </c>
      <c r="I20" s="56">
        <f t="shared" ref="I20:I21" si="14">H20*D20</f>
        <v>6961.4999999999991</v>
      </c>
      <c r="J20" s="131" t="s">
        <v>1762</v>
      </c>
      <c r="M20" s="21">
        <f t="shared" si="4"/>
        <v>448.8</v>
      </c>
      <c r="N20" s="66" t="e">
        <f>M20-#REF!</f>
        <v>#REF!</v>
      </c>
      <c r="O20" s="21" t="e">
        <f t="shared" ref="O20:O21" si="15">N20*D20</f>
        <v>#REF!</v>
      </c>
    </row>
    <row r="21" spans="1:18" s="21" customFormat="1" x14ac:dyDescent="0.25">
      <c r="A21" s="53">
        <v>7</v>
      </c>
      <c r="B21" s="47" t="s">
        <v>177</v>
      </c>
      <c r="C21" s="53" t="s">
        <v>1234</v>
      </c>
      <c r="D21" s="79">
        <v>50</v>
      </c>
      <c r="E21" s="82">
        <v>25</v>
      </c>
      <c r="F21" s="56">
        <f t="shared" si="11"/>
        <v>1250</v>
      </c>
      <c r="G21" s="56">
        <f t="shared" si="12"/>
        <v>212.50000000000003</v>
      </c>
      <c r="H21" s="57">
        <f t="shared" si="13"/>
        <v>29.25</v>
      </c>
      <c r="I21" s="56">
        <f t="shared" si="14"/>
        <v>1462.5</v>
      </c>
      <c r="J21" s="131" t="s">
        <v>1761</v>
      </c>
      <c r="M21" s="21">
        <f t="shared" si="4"/>
        <v>448.8</v>
      </c>
      <c r="N21" s="66" t="e">
        <f>M21-#REF!</f>
        <v>#REF!</v>
      </c>
      <c r="O21" s="21" t="e">
        <f t="shared" si="15"/>
        <v>#REF!</v>
      </c>
    </row>
    <row r="22" spans="1:18" s="21" customFormat="1" x14ac:dyDescent="0.25">
      <c r="A22" s="53">
        <v>8</v>
      </c>
      <c r="B22" s="47" t="s">
        <v>1463</v>
      </c>
      <c r="C22" s="53" t="s">
        <v>1234</v>
      </c>
      <c r="D22" s="79">
        <v>14</v>
      </c>
      <c r="E22" s="82">
        <v>180</v>
      </c>
      <c r="F22" s="56">
        <f t="shared" si="0"/>
        <v>2520</v>
      </c>
      <c r="G22" s="56">
        <f t="shared" si="1"/>
        <v>428.40000000000003</v>
      </c>
      <c r="H22" s="57">
        <f t="shared" si="2"/>
        <v>210.6</v>
      </c>
      <c r="I22" s="56">
        <f t="shared" si="3"/>
        <v>2948.4</v>
      </c>
      <c r="J22" s="131" t="s">
        <v>1763</v>
      </c>
      <c r="M22" s="21">
        <f t="shared" si="4"/>
        <v>448.8</v>
      </c>
      <c r="N22" s="66" t="e">
        <f>M22-#REF!</f>
        <v>#REF!</v>
      </c>
      <c r="O22" s="21" t="e">
        <f t="shared" si="5"/>
        <v>#REF!</v>
      </c>
    </row>
    <row r="23" spans="1:18" s="21" customFormat="1" x14ac:dyDescent="0.25">
      <c r="A23" s="53"/>
      <c r="B23" s="47"/>
      <c r="C23" s="82"/>
      <c r="D23" s="57"/>
      <c r="E23" s="56"/>
      <c r="F23" s="56">
        <f t="shared" si="0"/>
        <v>0</v>
      </c>
      <c r="G23" s="56">
        <f t="shared" si="1"/>
        <v>0</v>
      </c>
      <c r="H23" s="57">
        <f t="shared" si="2"/>
        <v>0</v>
      </c>
      <c r="I23" s="56">
        <f t="shared" si="3"/>
        <v>0</v>
      </c>
      <c r="J23" s="58"/>
      <c r="M23" s="21">
        <f t="shared" si="4"/>
        <v>448.8</v>
      </c>
      <c r="N23" s="66" t="e">
        <f>M23-#REF!</f>
        <v>#REF!</v>
      </c>
      <c r="O23" s="21" t="e">
        <f t="shared" si="5"/>
        <v>#REF!</v>
      </c>
    </row>
    <row r="24" spans="1:18" ht="15.75" thickBot="1" x14ac:dyDescent="0.3">
      <c r="A24" s="33"/>
      <c r="B24" s="34" t="s">
        <v>24</v>
      </c>
      <c r="C24" s="35"/>
      <c r="D24" s="62">
        <f>SUM(D16:D23)</f>
        <v>209</v>
      </c>
      <c r="E24" s="35"/>
      <c r="F24" s="62">
        <f>SUM(F16:F23)</f>
        <v>22345</v>
      </c>
      <c r="G24" s="62">
        <f>SUM(G16:G23)</f>
        <v>3798.65</v>
      </c>
      <c r="H24" s="35"/>
      <c r="I24" s="62">
        <f>SUM(I16:I23)</f>
        <v>26143.65</v>
      </c>
      <c r="J24" s="37"/>
      <c r="M24" t="e">
        <f>#REF!/117*100</f>
        <v>#REF!</v>
      </c>
      <c r="O24" t="e">
        <f>M24*1.1</f>
        <v>#REF!</v>
      </c>
    </row>
    <row r="25" spans="1:18" ht="15.75" thickTop="1" x14ac:dyDescent="0.25">
      <c r="A25" s="33"/>
      <c r="B25" s="34" t="s">
        <v>1764</v>
      </c>
      <c r="C25" s="35"/>
      <c r="D25" s="35"/>
      <c r="E25" s="35"/>
      <c r="F25" s="35"/>
      <c r="G25" s="35"/>
      <c r="H25" s="35"/>
      <c r="I25" s="35"/>
      <c r="J25" s="37"/>
    </row>
    <row r="26" spans="1:18" x14ac:dyDescent="0.25">
      <c r="A26" s="33"/>
      <c r="B26" s="38" t="s">
        <v>25</v>
      </c>
      <c r="C26" s="35"/>
      <c r="D26" s="35"/>
      <c r="E26" s="35"/>
      <c r="F26" s="35"/>
      <c r="G26" s="35"/>
      <c r="H26" s="35"/>
      <c r="I26" s="35"/>
      <c r="J26" s="37"/>
      <c r="M26" s="64" t="e">
        <f>M24*#REF!</f>
        <v>#REF!</v>
      </c>
      <c r="O26" s="65" t="e">
        <f>#REF!</f>
        <v>#REF!</v>
      </c>
      <c r="P26" s="64" t="e">
        <f>O26-M26</f>
        <v>#REF!</v>
      </c>
      <c r="Q26" s="64" t="e">
        <f>#REF!*0.045</f>
        <v>#REF!</v>
      </c>
      <c r="R26" s="64" t="e">
        <f>P26-Q26</f>
        <v>#REF!</v>
      </c>
    </row>
    <row r="27" spans="1:18" ht="30" customHeight="1" x14ac:dyDescent="0.25">
      <c r="B27" s="183" t="s">
        <v>26</v>
      </c>
      <c r="C27" s="183"/>
      <c r="D27" s="183"/>
      <c r="E27" s="183"/>
      <c r="F27" s="183"/>
      <c r="G27" s="183"/>
      <c r="H27" s="183"/>
      <c r="I27" s="183"/>
      <c r="J27" s="183"/>
      <c r="P27" s="64"/>
      <c r="R27" s="65" t="e">
        <f>#REF!-#REF!</f>
        <v>#REF!</v>
      </c>
    </row>
    <row r="28" spans="1:18" x14ac:dyDescent="0.25">
      <c r="B28" t="s">
        <v>27</v>
      </c>
    </row>
    <row r="31" spans="1:18" x14ac:dyDescent="0.25">
      <c r="B31" t="s">
        <v>28</v>
      </c>
      <c r="H31" t="s">
        <v>28</v>
      </c>
    </row>
    <row r="32" spans="1:18" x14ac:dyDescent="0.25">
      <c r="B32" t="s">
        <v>29</v>
      </c>
      <c r="H32" t="s">
        <v>30</v>
      </c>
    </row>
  </sheetData>
  <autoFilter ref="A15:J28" xr:uid="{00000000-0009-0000-0000-000000000000}"/>
  <mergeCells count="5">
    <mergeCell ref="A6:J6"/>
    <mergeCell ref="I7:J7"/>
    <mergeCell ref="I8:J8"/>
    <mergeCell ref="I9:J9"/>
    <mergeCell ref="B27:J27"/>
  </mergeCells>
  <hyperlinks>
    <hyperlink ref="H5" r:id="rId1" xr:uid="{89E7CD8A-4D42-4C77-9FCD-B90E0AC21AD9}"/>
  </hyperlinks>
  <pageMargins left="0.2" right="0.1" top="0.25" bottom="0.25" header="0.3" footer="0.3"/>
  <pageSetup paperSize="9" orientation="portrait" r:id="rId2"/>
  <drawing r:id="rId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C3C83-7A13-4143-B049-080225DEF079}">
  <dimension ref="A1:J26"/>
  <sheetViews>
    <sheetView workbookViewId="0">
      <selection activeCell="G11" sqref="G1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1742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1752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1414</v>
      </c>
      <c r="D10" s="10"/>
      <c r="E10" s="10"/>
      <c r="F10" s="10"/>
    </row>
    <row r="11" spans="1:10" x14ac:dyDescent="0.25">
      <c r="B11" t="s">
        <v>11</v>
      </c>
      <c r="C11" s="10" t="s">
        <v>52</v>
      </c>
      <c r="D11" s="11"/>
      <c r="E11" s="11"/>
      <c r="F11" s="11"/>
    </row>
    <row r="12" spans="1:10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1413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1753</v>
      </c>
      <c r="C16" s="54" t="s">
        <v>23</v>
      </c>
      <c r="D16" s="72">
        <v>500</v>
      </c>
      <c r="E16" s="56">
        <v>24</v>
      </c>
      <c r="F16" s="56">
        <f t="shared" ref="F16:F17" si="0">D16*E16</f>
        <v>12000</v>
      </c>
      <c r="G16" s="56">
        <f t="shared" ref="G16:G17" si="1">F16*0.17</f>
        <v>2040.0000000000002</v>
      </c>
      <c r="H16" s="84">
        <f t="shared" ref="H16:H17" si="2">E16*1.17</f>
        <v>28.08</v>
      </c>
      <c r="I16" s="56">
        <f t="shared" ref="I16:I17" si="3">H16*D16</f>
        <v>14040</v>
      </c>
      <c r="J16" s="58"/>
    </row>
    <row r="17" spans="1:10" s="21" customFormat="1" x14ac:dyDescent="0.25">
      <c r="A17" s="53"/>
      <c r="B17" s="47"/>
      <c r="C17" s="54"/>
      <c r="D17" s="72"/>
      <c r="E17" s="56"/>
      <c r="F17" s="56">
        <f t="shared" si="0"/>
        <v>0</v>
      </c>
      <c r="G17" s="56">
        <f t="shared" si="1"/>
        <v>0</v>
      </c>
      <c r="H17" s="84">
        <f t="shared" si="2"/>
        <v>0</v>
      </c>
      <c r="I17" s="56">
        <f t="shared" si="3"/>
        <v>0</v>
      </c>
      <c r="J17" s="58"/>
    </row>
    <row r="18" spans="1:10" ht="15.75" thickBot="1" x14ac:dyDescent="0.3">
      <c r="A18" s="33"/>
      <c r="B18" s="34" t="s">
        <v>24</v>
      </c>
      <c r="C18" s="35"/>
      <c r="D18" s="62">
        <f>SUM(D16:D16)</f>
        <v>500</v>
      </c>
      <c r="E18" s="35"/>
      <c r="F18" s="62">
        <f>SUM(F16:F16)</f>
        <v>12000</v>
      </c>
      <c r="G18" s="62">
        <f>SUM(G16:G16)</f>
        <v>2040.0000000000002</v>
      </c>
      <c r="H18" s="35"/>
      <c r="I18" s="62">
        <f>SUM(I16:I16)</f>
        <v>14040</v>
      </c>
      <c r="J18" s="37"/>
    </row>
    <row r="19" spans="1:10" ht="15.75" thickTop="1" x14ac:dyDescent="0.25">
      <c r="A19" s="33"/>
      <c r="B19" s="34" t="s">
        <v>1754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634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4A4B204F-83CB-4F73-AFF5-9E82670E5151}"/>
  </hyperlinks>
  <pageMargins left="0.2" right="0.1" top="0.25" bottom="0.25" header="0.3" footer="0.3"/>
  <pageSetup paperSize="9" orientation="portrait" r:id="rId2"/>
  <drawing r:id="rId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6FE41-595E-446A-9D65-2B6F00997D58}">
  <dimension ref="A1:J40"/>
  <sheetViews>
    <sheetView topLeftCell="A20" workbookViewId="0">
      <selection activeCell="O30" sqref="O3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1742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1741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1414</v>
      </c>
      <c r="D10" s="10"/>
      <c r="E10" s="10"/>
      <c r="F10" s="10"/>
    </row>
    <row r="11" spans="1:10" x14ac:dyDescent="0.25">
      <c r="B11" t="s">
        <v>11</v>
      </c>
      <c r="C11" s="10" t="s">
        <v>52</v>
      </c>
      <c r="D11" s="11"/>
      <c r="E11" s="11"/>
      <c r="F11" s="11"/>
    </row>
    <row r="12" spans="1:10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1413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1743</v>
      </c>
      <c r="C16" s="54" t="s">
        <v>1751</v>
      </c>
      <c r="D16" s="72">
        <v>4</v>
      </c>
      <c r="E16" s="56">
        <v>150</v>
      </c>
      <c r="F16" s="56">
        <f t="shared" ref="F16:F31" si="0">D16*E16</f>
        <v>600</v>
      </c>
      <c r="G16" s="56">
        <f t="shared" ref="G16:G31" si="1">F16*0.17</f>
        <v>102.00000000000001</v>
      </c>
      <c r="H16" s="84">
        <f t="shared" ref="H16:H31" si="2">E16*1.17</f>
        <v>175.5</v>
      </c>
      <c r="I16" s="56">
        <f t="shared" ref="I16:I31" si="3">H16*D16</f>
        <v>702</v>
      </c>
      <c r="J16" s="58"/>
    </row>
    <row r="17" spans="1:10" s="21" customFormat="1" x14ac:dyDescent="0.25">
      <c r="A17" s="53">
        <f>A16+1</f>
        <v>2</v>
      </c>
      <c r="B17" s="47" t="s">
        <v>1744</v>
      </c>
      <c r="C17" s="54" t="s">
        <v>1751</v>
      </c>
      <c r="D17" s="72">
        <v>4</v>
      </c>
      <c r="E17" s="56">
        <v>150</v>
      </c>
      <c r="F17" s="56">
        <f t="shared" ref="F17:F30" si="4">D17*E17</f>
        <v>600</v>
      </c>
      <c r="G17" s="56">
        <f t="shared" ref="G17:G30" si="5">F17*0.17</f>
        <v>102.00000000000001</v>
      </c>
      <c r="H17" s="84">
        <f t="shared" ref="H17:H30" si="6">E17*1.17</f>
        <v>175.5</v>
      </c>
      <c r="I17" s="56">
        <f t="shared" ref="I17:I30" si="7">H17*D17</f>
        <v>702</v>
      </c>
      <c r="J17" s="58"/>
    </row>
    <row r="18" spans="1:10" s="21" customFormat="1" x14ac:dyDescent="0.25">
      <c r="A18" s="53">
        <f t="shared" ref="A18:A30" si="8">A17+1</f>
        <v>3</v>
      </c>
      <c r="B18" s="47" t="s">
        <v>1603</v>
      </c>
      <c r="C18" s="54" t="s">
        <v>23</v>
      </c>
      <c r="D18" s="72">
        <v>2</v>
      </c>
      <c r="E18" s="56">
        <v>140</v>
      </c>
      <c r="F18" s="56">
        <f t="shared" si="4"/>
        <v>280</v>
      </c>
      <c r="G18" s="56">
        <f t="shared" si="5"/>
        <v>47.6</v>
      </c>
      <c r="H18" s="84">
        <f t="shared" si="6"/>
        <v>163.79999999999998</v>
      </c>
      <c r="I18" s="56">
        <f t="shared" si="7"/>
        <v>327.59999999999997</v>
      </c>
      <c r="J18" s="58"/>
    </row>
    <row r="19" spans="1:10" s="21" customFormat="1" x14ac:dyDescent="0.25">
      <c r="A19" s="53">
        <f t="shared" si="8"/>
        <v>4</v>
      </c>
      <c r="B19" s="47" t="s">
        <v>1755</v>
      </c>
      <c r="C19" s="54" t="s">
        <v>1751</v>
      </c>
      <c r="D19" s="72">
        <v>10</v>
      </c>
      <c r="E19" s="56">
        <v>86</v>
      </c>
      <c r="F19" s="56">
        <f t="shared" si="4"/>
        <v>860</v>
      </c>
      <c r="G19" s="56">
        <f t="shared" si="5"/>
        <v>146.20000000000002</v>
      </c>
      <c r="H19" s="84">
        <f t="shared" si="6"/>
        <v>100.61999999999999</v>
      </c>
      <c r="I19" s="56">
        <f t="shared" si="7"/>
        <v>1006.1999999999999</v>
      </c>
      <c r="J19" s="58"/>
    </row>
    <row r="20" spans="1:10" s="21" customFormat="1" x14ac:dyDescent="0.25">
      <c r="A20" s="53">
        <f t="shared" si="8"/>
        <v>5</v>
      </c>
      <c r="B20" s="47" t="s">
        <v>1606</v>
      </c>
      <c r="C20" s="54" t="s">
        <v>1751</v>
      </c>
      <c r="D20" s="72">
        <v>1</v>
      </c>
      <c r="E20" s="56">
        <v>380</v>
      </c>
      <c r="F20" s="56">
        <f t="shared" si="4"/>
        <v>380</v>
      </c>
      <c r="G20" s="56">
        <f t="shared" si="5"/>
        <v>64.600000000000009</v>
      </c>
      <c r="H20" s="84">
        <f t="shared" si="6"/>
        <v>444.59999999999997</v>
      </c>
      <c r="I20" s="56">
        <f t="shared" si="7"/>
        <v>444.59999999999997</v>
      </c>
      <c r="J20" s="58"/>
    </row>
    <row r="21" spans="1:10" s="21" customFormat="1" x14ac:dyDescent="0.25">
      <c r="A21" s="53">
        <f t="shared" si="8"/>
        <v>6</v>
      </c>
      <c r="B21" s="47" t="s">
        <v>1745</v>
      </c>
      <c r="C21" s="54" t="s">
        <v>23</v>
      </c>
      <c r="D21" s="72">
        <v>12</v>
      </c>
      <c r="E21" s="56">
        <v>42</v>
      </c>
      <c r="F21" s="56">
        <f t="shared" si="4"/>
        <v>504</v>
      </c>
      <c r="G21" s="56">
        <f t="shared" si="5"/>
        <v>85.68</v>
      </c>
      <c r="H21" s="84">
        <f t="shared" si="6"/>
        <v>49.14</v>
      </c>
      <c r="I21" s="56">
        <f t="shared" si="7"/>
        <v>589.68000000000006</v>
      </c>
      <c r="J21" s="58"/>
    </row>
    <row r="22" spans="1:10" s="21" customFormat="1" x14ac:dyDescent="0.25">
      <c r="A22" s="53">
        <f t="shared" si="8"/>
        <v>7</v>
      </c>
      <c r="B22" s="47" t="s">
        <v>1608</v>
      </c>
      <c r="C22" s="54" t="s">
        <v>23</v>
      </c>
      <c r="D22" s="72">
        <v>6</v>
      </c>
      <c r="E22" s="56">
        <v>145</v>
      </c>
      <c r="F22" s="56">
        <f t="shared" si="4"/>
        <v>870</v>
      </c>
      <c r="G22" s="56">
        <f t="shared" si="5"/>
        <v>147.9</v>
      </c>
      <c r="H22" s="84">
        <f t="shared" si="6"/>
        <v>169.64999999999998</v>
      </c>
      <c r="I22" s="56">
        <f t="shared" si="7"/>
        <v>1017.8999999999999</v>
      </c>
      <c r="J22" s="58"/>
    </row>
    <row r="23" spans="1:10" s="21" customFormat="1" x14ac:dyDescent="0.25">
      <c r="A23" s="53">
        <f t="shared" si="8"/>
        <v>8</v>
      </c>
      <c r="B23" s="47" t="s">
        <v>1609</v>
      </c>
      <c r="C23" s="54" t="s">
        <v>23</v>
      </c>
      <c r="D23" s="72">
        <v>12</v>
      </c>
      <c r="E23" s="56">
        <v>22</v>
      </c>
      <c r="F23" s="56">
        <f t="shared" si="4"/>
        <v>264</v>
      </c>
      <c r="G23" s="56">
        <f t="shared" si="5"/>
        <v>44.88</v>
      </c>
      <c r="H23" s="84">
        <f t="shared" si="6"/>
        <v>25.74</v>
      </c>
      <c r="I23" s="56">
        <f t="shared" si="7"/>
        <v>308.88</v>
      </c>
      <c r="J23" s="58"/>
    </row>
    <row r="24" spans="1:10" s="21" customFormat="1" x14ac:dyDescent="0.25">
      <c r="A24" s="53">
        <f t="shared" si="8"/>
        <v>9</v>
      </c>
      <c r="B24" s="47" t="s">
        <v>1610</v>
      </c>
      <c r="C24" s="54" t="s">
        <v>23</v>
      </c>
      <c r="D24" s="72">
        <v>4</v>
      </c>
      <c r="E24" s="56">
        <v>160</v>
      </c>
      <c r="F24" s="56">
        <f t="shared" si="4"/>
        <v>640</v>
      </c>
      <c r="G24" s="56">
        <f t="shared" si="5"/>
        <v>108.80000000000001</v>
      </c>
      <c r="H24" s="84">
        <f t="shared" si="6"/>
        <v>187.2</v>
      </c>
      <c r="I24" s="56">
        <f t="shared" si="7"/>
        <v>748.8</v>
      </c>
      <c r="J24" s="58"/>
    </row>
    <row r="25" spans="1:10" s="21" customFormat="1" x14ac:dyDescent="0.25">
      <c r="A25" s="53">
        <f t="shared" si="8"/>
        <v>10</v>
      </c>
      <c r="B25" s="47" t="s">
        <v>1611</v>
      </c>
      <c r="C25" s="54" t="s">
        <v>23</v>
      </c>
      <c r="D25" s="72">
        <v>4</v>
      </c>
      <c r="E25" s="56">
        <v>250</v>
      </c>
      <c r="F25" s="56">
        <f t="shared" si="4"/>
        <v>1000</v>
      </c>
      <c r="G25" s="56">
        <f t="shared" si="5"/>
        <v>170</v>
      </c>
      <c r="H25" s="84">
        <f t="shared" si="6"/>
        <v>292.5</v>
      </c>
      <c r="I25" s="56">
        <f t="shared" si="7"/>
        <v>1170</v>
      </c>
      <c r="J25" s="58"/>
    </row>
    <row r="26" spans="1:10" s="21" customFormat="1" x14ac:dyDescent="0.25">
      <c r="A26" s="53">
        <f t="shared" si="8"/>
        <v>11</v>
      </c>
      <c r="B26" s="47" t="s">
        <v>918</v>
      </c>
      <c r="C26" s="54" t="s">
        <v>23</v>
      </c>
      <c r="D26" s="72">
        <v>12</v>
      </c>
      <c r="E26" s="56">
        <v>20</v>
      </c>
      <c r="F26" s="56">
        <f t="shared" si="4"/>
        <v>240</v>
      </c>
      <c r="G26" s="56">
        <f t="shared" si="5"/>
        <v>40.800000000000004</v>
      </c>
      <c r="H26" s="84">
        <f t="shared" si="6"/>
        <v>23.4</v>
      </c>
      <c r="I26" s="56">
        <f t="shared" si="7"/>
        <v>280.79999999999995</v>
      </c>
      <c r="J26" s="58"/>
    </row>
    <row r="27" spans="1:10" s="21" customFormat="1" x14ac:dyDescent="0.25">
      <c r="A27" s="53">
        <f t="shared" si="8"/>
        <v>12</v>
      </c>
      <c r="B27" s="47" t="s">
        <v>1612</v>
      </c>
      <c r="C27" s="54" t="s">
        <v>23</v>
      </c>
      <c r="D27" s="72">
        <v>4</v>
      </c>
      <c r="E27" s="56">
        <v>155</v>
      </c>
      <c r="F27" s="56">
        <f t="shared" si="4"/>
        <v>620</v>
      </c>
      <c r="G27" s="56">
        <f t="shared" si="5"/>
        <v>105.4</v>
      </c>
      <c r="H27" s="84">
        <f t="shared" si="6"/>
        <v>181.35</v>
      </c>
      <c r="I27" s="56">
        <f t="shared" si="7"/>
        <v>725.4</v>
      </c>
      <c r="J27" s="58"/>
    </row>
    <row r="28" spans="1:10" s="21" customFormat="1" x14ac:dyDescent="0.25">
      <c r="A28" s="53">
        <f t="shared" si="8"/>
        <v>13</v>
      </c>
      <c r="B28" s="47" t="s">
        <v>1746</v>
      </c>
      <c r="C28" s="54" t="s">
        <v>1751</v>
      </c>
      <c r="D28" s="72">
        <v>1</v>
      </c>
      <c r="E28" s="56">
        <v>300</v>
      </c>
      <c r="F28" s="56">
        <f t="shared" si="4"/>
        <v>300</v>
      </c>
      <c r="G28" s="56">
        <f t="shared" si="5"/>
        <v>51.000000000000007</v>
      </c>
      <c r="H28" s="84">
        <f t="shared" si="6"/>
        <v>351</v>
      </c>
      <c r="I28" s="56">
        <f t="shared" si="7"/>
        <v>351</v>
      </c>
      <c r="J28" s="58"/>
    </row>
    <row r="29" spans="1:10" s="21" customFormat="1" x14ac:dyDescent="0.25">
      <c r="A29" s="53">
        <f t="shared" si="8"/>
        <v>14</v>
      </c>
      <c r="B29" s="47" t="s">
        <v>1615</v>
      </c>
      <c r="C29" s="54" t="s">
        <v>23</v>
      </c>
      <c r="D29" s="72">
        <v>1</v>
      </c>
      <c r="E29" s="56">
        <v>90</v>
      </c>
      <c r="F29" s="56">
        <f t="shared" si="4"/>
        <v>90</v>
      </c>
      <c r="G29" s="56">
        <f t="shared" si="5"/>
        <v>15.3</v>
      </c>
      <c r="H29" s="84">
        <f t="shared" si="6"/>
        <v>105.3</v>
      </c>
      <c r="I29" s="56">
        <f t="shared" si="7"/>
        <v>105.3</v>
      </c>
      <c r="J29" s="58"/>
    </row>
    <row r="30" spans="1:10" s="21" customFormat="1" x14ac:dyDescent="0.25">
      <c r="A30" s="53">
        <f t="shared" si="8"/>
        <v>15</v>
      </c>
      <c r="B30" s="47" t="s">
        <v>1747</v>
      </c>
      <c r="C30" s="54" t="s">
        <v>1751</v>
      </c>
      <c r="D30" s="72">
        <v>2</v>
      </c>
      <c r="E30" s="56">
        <v>35</v>
      </c>
      <c r="F30" s="56">
        <f t="shared" si="4"/>
        <v>70</v>
      </c>
      <c r="G30" s="56">
        <f t="shared" si="5"/>
        <v>11.9</v>
      </c>
      <c r="H30" s="84">
        <f t="shared" si="6"/>
        <v>40.949999999999996</v>
      </c>
      <c r="I30" s="56">
        <f t="shared" si="7"/>
        <v>81.899999999999991</v>
      </c>
      <c r="J30" s="58"/>
    </row>
    <row r="31" spans="1:10" s="21" customFormat="1" x14ac:dyDescent="0.25">
      <c r="A31" s="53"/>
      <c r="B31" s="47"/>
      <c r="C31" s="54"/>
      <c r="D31" s="72"/>
      <c r="E31" s="56"/>
      <c r="F31" s="56">
        <f t="shared" si="0"/>
        <v>0</v>
      </c>
      <c r="G31" s="56">
        <f t="shared" si="1"/>
        <v>0</v>
      </c>
      <c r="H31" s="84">
        <f t="shared" si="2"/>
        <v>0</v>
      </c>
      <c r="I31" s="56">
        <f t="shared" si="3"/>
        <v>0</v>
      </c>
      <c r="J31" s="58"/>
    </row>
    <row r="32" spans="1:10" ht="15.75" thickBot="1" x14ac:dyDescent="0.3">
      <c r="A32" s="33"/>
      <c r="B32" s="34" t="s">
        <v>24</v>
      </c>
      <c r="C32" s="35"/>
      <c r="D32" s="62">
        <f>SUM(D16:D30)</f>
        <v>79</v>
      </c>
      <c r="E32" s="35"/>
      <c r="F32" s="62">
        <f>SUM(F16:F30)</f>
        <v>7318</v>
      </c>
      <c r="G32" s="62">
        <f>SUM(G16:G30)</f>
        <v>1244.0600000000002</v>
      </c>
      <c r="H32" s="35"/>
      <c r="I32" s="62">
        <f>SUM(I16:I30)</f>
        <v>8562.06</v>
      </c>
      <c r="J32" s="37"/>
    </row>
    <row r="33" spans="1:10" ht="15.75" thickTop="1" x14ac:dyDescent="0.25">
      <c r="A33" s="33"/>
      <c r="B33" s="34" t="s">
        <v>1777</v>
      </c>
      <c r="C33" s="35"/>
      <c r="D33" s="35"/>
      <c r="E33" s="35"/>
      <c r="F33" s="35"/>
      <c r="G33" s="35"/>
      <c r="H33" s="35"/>
      <c r="I33" s="35"/>
      <c r="J33" s="37"/>
    </row>
    <row r="34" spans="1:10" x14ac:dyDescent="0.25">
      <c r="A34" s="33"/>
      <c r="B34" s="38" t="s">
        <v>25</v>
      </c>
      <c r="C34" s="35"/>
      <c r="D34" s="35"/>
      <c r="E34" s="35"/>
      <c r="F34" s="35"/>
      <c r="G34" s="35"/>
      <c r="H34" s="35"/>
      <c r="I34" s="35"/>
      <c r="J34" s="37"/>
    </row>
    <row r="35" spans="1:10" ht="30" customHeight="1" x14ac:dyDescent="0.25">
      <c r="B35" s="183" t="s">
        <v>26</v>
      </c>
      <c r="C35" s="183"/>
      <c r="D35" s="183"/>
      <c r="E35" s="183"/>
      <c r="F35" s="183"/>
      <c r="G35" s="183"/>
      <c r="H35" s="183"/>
      <c r="I35" s="183"/>
      <c r="J35" s="183"/>
    </row>
    <row r="36" spans="1:10" x14ac:dyDescent="0.25">
      <c r="B36" t="s">
        <v>634</v>
      </c>
    </row>
    <row r="39" spans="1:10" x14ac:dyDescent="0.25">
      <c r="B39" t="s">
        <v>28</v>
      </c>
      <c r="H39" t="s">
        <v>28</v>
      </c>
    </row>
    <row r="40" spans="1:10" x14ac:dyDescent="0.25">
      <c r="B40" t="s">
        <v>29</v>
      </c>
      <c r="H40" t="s">
        <v>30</v>
      </c>
    </row>
  </sheetData>
  <autoFilter ref="A15:J36" xr:uid="{00000000-0009-0000-0000-000000000000}"/>
  <mergeCells count="5">
    <mergeCell ref="A6:J6"/>
    <mergeCell ref="I7:J7"/>
    <mergeCell ref="I8:J8"/>
    <mergeCell ref="I9:J9"/>
    <mergeCell ref="B35:J35"/>
  </mergeCells>
  <hyperlinks>
    <hyperlink ref="H5" r:id="rId1" xr:uid="{ECD1C227-5A7D-445D-9F42-734C32501402}"/>
  </hyperlinks>
  <pageMargins left="0.2" right="0.1" top="0.25" bottom="0.25" header="0.3" footer="0.3"/>
  <pageSetup paperSize="9" orientation="portrait" r:id="rId2"/>
  <drawing r:id="rId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D109C-2F99-4870-BB25-02E056845235}">
  <dimension ref="A1:J26"/>
  <sheetViews>
    <sheetView workbookViewId="0">
      <selection activeCell="E17" sqref="E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1738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1737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1414</v>
      </c>
      <c r="D10" s="10"/>
      <c r="E10" s="10"/>
      <c r="F10" s="10"/>
    </row>
    <row r="11" spans="1:10" x14ac:dyDescent="0.25">
      <c r="B11" t="s">
        <v>11</v>
      </c>
      <c r="C11" s="10" t="s">
        <v>52</v>
      </c>
      <c r="D11" s="11"/>
      <c r="E11" s="11"/>
      <c r="F11" s="11"/>
    </row>
    <row r="12" spans="1:10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1413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1739</v>
      </c>
      <c r="C16" s="54" t="s">
        <v>23</v>
      </c>
      <c r="D16" s="72">
        <v>1</v>
      </c>
      <c r="E16" s="56">
        <v>5400</v>
      </c>
      <c r="F16" s="56">
        <f t="shared" ref="F16:F17" si="0">D16*E16</f>
        <v>5400</v>
      </c>
      <c r="G16" s="56">
        <f t="shared" ref="G16:G17" si="1">F16*0.17</f>
        <v>918.00000000000011</v>
      </c>
      <c r="H16" s="84">
        <f t="shared" ref="H16:H17" si="2">E16*1.17</f>
        <v>6318</v>
      </c>
      <c r="I16" s="56">
        <f t="shared" ref="I16:I17" si="3">H16*D16</f>
        <v>6318</v>
      </c>
      <c r="J16" s="58"/>
    </row>
    <row r="17" spans="1:10" s="21" customFormat="1" x14ac:dyDescent="0.25">
      <c r="A17" s="53"/>
      <c r="B17" s="47"/>
      <c r="C17" s="54"/>
      <c r="D17" s="72"/>
      <c r="E17" s="56"/>
      <c r="F17" s="56">
        <f t="shared" si="0"/>
        <v>0</v>
      </c>
      <c r="G17" s="56">
        <f t="shared" si="1"/>
        <v>0</v>
      </c>
      <c r="H17" s="84">
        <f t="shared" si="2"/>
        <v>0</v>
      </c>
      <c r="I17" s="56">
        <f t="shared" si="3"/>
        <v>0</v>
      </c>
      <c r="J17" s="58"/>
    </row>
    <row r="18" spans="1:10" ht="15.75" thickBot="1" x14ac:dyDescent="0.3">
      <c r="A18" s="33"/>
      <c r="B18" s="34" t="s">
        <v>24</v>
      </c>
      <c r="C18" s="35"/>
      <c r="D18" s="62">
        <f>SUM(D16:D16)</f>
        <v>1</v>
      </c>
      <c r="E18" s="35"/>
      <c r="F18" s="62">
        <f>SUM(F16:F16)</f>
        <v>5400</v>
      </c>
      <c r="G18" s="62">
        <f>SUM(G16:G16)</f>
        <v>918.00000000000011</v>
      </c>
      <c r="H18" s="35"/>
      <c r="I18" s="62">
        <f>SUM(I16:I16)</f>
        <v>6318</v>
      </c>
      <c r="J18" s="37"/>
    </row>
    <row r="19" spans="1:10" ht="15.75" thickTop="1" x14ac:dyDescent="0.25">
      <c r="A19" s="33"/>
      <c r="B19" s="34" t="s">
        <v>1740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634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85D8AADC-9F02-47FC-9B69-97EA1645358E}"/>
  </hyperlinks>
  <pageMargins left="0.2" right="0.1" top="0.25" bottom="0.25" header="0.3" footer="0.3"/>
  <pageSetup paperSize="9" orientation="portrait" r:id="rId2"/>
  <drawing r:id="rId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B3892-AE01-4DCF-943F-99B88A95B778}">
  <dimension ref="A1:R26"/>
  <sheetViews>
    <sheetView workbookViewId="0">
      <selection activeCell="B2" sqref="B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8" width="8.5703125" customWidth="1"/>
    <col min="9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1727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1732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1733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1734</v>
      </c>
      <c r="C16" s="53" t="s">
        <v>1735</v>
      </c>
      <c r="D16" s="79">
        <v>90</v>
      </c>
      <c r="E16" s="56">
        <v>1280</v>
      </c>
      <c r="F16" s="56">
        <f t="shared" ref="F16" si="0">D16*E16</f>
        <v>115200</v>
      </c>
      <c r="G16" s="56">
        <f>F16*0.17</f>
        <v>19584</v>
      </c>
      <c r="H16" s="57">
        <f>E16*1.17</f>
        <v>1497.6</v>
      </c>
      <c r="I16" s="56">
        <f t="shared" ref="I16" si="1">H16*D16</f>
        <v>134784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90</v>
      </c>
      <c r="E18" s="35"/>
      <c r="F18" s="62">
        <f>SUM(F16:F17)</f>
        <v>115200</v>
      </c>
      <c r="G18" s="62">
        <f>SUM(G16:G17)</f>
        <v>19584</v>
      </c>
      <c r="H18" s="35"/>
      <c r="I18" s="62">
        <f>SUM(I16:I17)</f>
        <v>134784</v>
      </c>
      <c r="J18" s="37"/>
    </row>
    <row r="19" spans="1:18" ht="15.75" thickTop="1" x14ac:dyDescent="0.25">
      <c r="A19" s="33"/>
      <c r="B19" s="34" t="s">
        <v>1736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A389E94E-9C98-4B2F-B47A-67E620D3D47F}"/>
  </hyperlinks>
  <pageMargins left="0.2" right="0.1" top="0.25" bottom="0.2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8322B-BBFE-4CCD-A276-F48421D757CC}">
  <dimension ref="A1:J27"/>
  <sheetViews>
    <sheetView topLeftCell="A8" workbookViewId="0">
      <selection activeCell="A14" sqref="A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2301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2300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>
        <v>8800753674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x14ac:dyDescent="0.25">
      <c r="C14" s="75"/>
    </row>
    <row r="15" spans="1:10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0" s="21" customFormat="1" x14ac:dyDescent="0.25">
      <c r="A16" s="53">
        <v>1</v>
      </c>
      <c r="B16" s="78" t="s">
        <v>2302</v>
      </c>
      <c r="C16" s="53" t="s">
        <v>23</v>
      </c>
      <c r="D16" s="79">
        <v>1</v>
      </c>
      <c r="E16" s="56">
        <v>3850</v>
      </c>
      <c r="F16" s="56">
        <f t="shared" ref="F16" si="0">D16*E16</f>
        <v>3850</v>
      </c>
      <c r="G16" s="56">
        <f t="shared" ref="G16" si="1">F16*0.17</f>
        <v>654.5</v>
      </c>
      <c r="H16" s="129">
        <f t="shared" ref="H16" si="2">E16*1.17</f>
        <v>4504.5</v>
      </c>
      <c r="I16" s="56">
        <f t="shared" ref="I16:I18" si="3">H16*D16</f>
        <v>4504.5</v>
      </c>
      <c r="J16" s="58"/>
    </row>
    <row r="17" spans="1:10" s="21" customFormat="1" x14ac:dyDescent="0.25">
      <c r="A17" s="53">
        <v>2</v>
      </c>
      <c r="B17" s="78" t="s">
        <v>2303</v>
      </c>
      <c r="C17" s="53" t="s">
        <v>23</v>
      </c>
      <c r="D17" s="79">
        <v>1</v>
      </c>
      <c r="E17" s="56">
        <v>3720</v>
      </c>
      <c r="F17" s="56">
        <f t="shared" ref="F17:F18" si="4">D17*E17</f>
        <v>3720</v>
      </c>
      <c r="G17" s="56">
        <f t="shared" ref="G17:G18" si="5">F17*0.17</f>
        <v>632.40000000000009</v>
      </c>
      <c r="H17" s="129">
        <f t="shared" ref="H17:H18" si="6">E17*1.17</f>
        <v>4352.3999999999996</v>
      </c>
      <c r="I17" s="56">
        <f t="shared" si="3"/>
        <v>4352.3999999999996</v>
      </c>
      <c r="J17" s="58"/>
    </row>
    <row r="18" spans="1:10" s="21" customFormat="1" x14ac:dyDescent="0.25">
      <c r="A18" s="53"/>
      <c r="B18" s="47"/>
      <c r="C18" s="82"/>
      <c r="D18" s="57"/>
      <c r="E18" s="56"/>
      <c r="F18" s="56">
        <f t="shared" si="4"/>
        <v>0</v>
      </c>
      <c r="G18" s="56">
        <f t="shared" si="5"/>
        <v>0</v>
      </c>
      <c r="H18" s="129">
        <f t="shared" si="6"/>
        <v>0</v>
      </c>
      <c r="I18" s="56">
        <f t="shared" si="3"/>
        <v>0</v>
      </c>
      <c r="J18" s="58"/>
    </row>
    <row r="19" spans="1:10" ht="15.75" thickBot="1" x14ac:dyDescent="0.3">
      <c r="A19" s="33"/>
      <c r="B19" s="34" t="s">
        <v>24</v>
      </c>
      <c r="C19" s="35"/>
      <c r="D19" s="62">
        <f>SUM(D16:D18)</f>
        <v>2</v>
      </c>
      <c r="E19" s="35"/>
      <c r="F19" s="62">
        <f>SUM(F16:F18)</f>
        <v>7570</v>
      </c>
      <c r="G19" s="62">
        <f>SUM(G16:G18)</f>
        <v>1286.9000000000001</v>
      </c>
      <c r="H19" s="35"/>
      <c r="I19" s="62">
        <f>SUM(I16:I18)</f>
        <v>8856.9</v>
      </c>
      <c r="J19" s="37"/>
    </row>
    <row r="20" spans="1:10" ht="15.75" thickTop="1" x14ac:dyDescent="0.25">
      <c r="A20" s="33"/>
      <c r="B20" s="34" t="s">
        <v>2304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634</v>
      </c>
    </row>
    <row r="26" spans="1:10" x14ac:dyDescent="0.25">
      <c r="B26" t="s">
        <v>28</v>
      </c>
      <c r="H26" t="s">
        <v>28</v>
      </c>
    </row>
    <row r="27" spans="1:10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539ED56F-C015-47DA-B31B-38A81471F027}"/>
  </hyperlinks>
  <pageMargins left="0.2" right="0.1" top="0.25" bottom="0.25" header="0.3" footer="0.3"/>
  <pageSetup paperSize="9" orientation="portrait" r:id="rId2"/>
  <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F20E1-7EDA-406B-B7DD-9A308A024CE3}">
  <dimension ref="A1:R28"/>
  <sheetViews>
    <sheetView topLeftCell="A7" workbookViewId="0">
      <selection activeCell="M15" sqref="M1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1727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1728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25.5" x14ac:dyDescent="0.25">
      <c r="A16" s="53">
        <v>1</v>
      </c>
      <c r="B16" s="78" t="s">
        <v>1729</v>
      </c>
      <c r="C16" s="53" t="s">
        <v>23</v>
      </c>
      <c r="D16" s="79">
        <v>25</v>
      </c>
      <c r="E16" s="56">
        <v>840</v>
      </c>
      <c r="F16" s="56">
        <f t="shared" ref="F16:F18" si="0">D16*E16</f>
        <v>21000</v>
      </c>
      <c r="G16" s="56">
        <f>F16*0.17</f>
        <v>3570.0000000000005</v>
      </c>
      <c r="H16" s="74">
        <f>E16*1.17</f>
        <v>982.8</v>
      </c>
      <c r="I16" s="56">
        <f t="shared" ref="I16:I18" si="1">H16*D16</f>
        <v>24570</v>
      </c>
      <c r="J16" s="83"/>
      <c r="N16" s="66"/>
    </row>
    <row r="17" spans="1:18" s="21" customFormat="1" ht="15.75" x14ac:dyDescent="0.25">
      <c r="A17" s="53">
        <v>2</v>
      </c>
      <c r="B17" s="78" t="s">
        <v>1320</v>
      </c>
      <c r="C17" s="53" t="s">
        <v>23</v>
      </c>
      <c r="D17" s="79">
        <v>30</v>
      </c>
      <c r="E17" s="56">
        <v>330</v>
      </c>
      <c r="F17" s="56">
        <f t="shared" si="0"/>
        <v>9900</v>
      </c>
      <c r="G17" s="56">
        <f t="shared" ref="G17:G18" si="2">F17*0.17</f>
        <v>1683.0000000000002</v>
      </c>
      <c r="H17" s="74">
        <f t="shared" ref="H17:H18" si="3">E17*1.17</f>
        <v>386.09999999999997</v>
      </c>
      <c r="I17" s="56">
        <f t="shared" si="1"/>
        <v>11582.999999999998</v>
      </c>
      <c r="J17" s="83"/>
      <c r="N17" s="66"/>
    </row>
    <row r="18" spans="1:18" s="21" customFormat="1" ht="15.75" x14ac:dyDescent="0.25">
      <c r="A18" s="53">
        <v>3</v>
      </c>
      <c r="B18" s="78" t="s">
        <v>1730</v>
      </c>
      <c r="C18" s="53" t="s">
        <v>23</v>
      </c>
      <c r="D18" s="79">
        <v>15</v>
      </c>
      <c r="E18" s="56">
        <v>145</v>
      </c>
      <c r="F18" s="56">
        <f t="shared" si="0"/>
        <v>2175</v>
      </c>
      <c r="G18" s="56">
        <f t="shared" si="2"/>
        <v>369.75</v>
      </c>
      <c r="H18" s="74">
        <f t="shared" si="3"/>
        <v>169.64999999999998</v>
      </c>
      <c r="I18" s="56">
        <f t="shared" si="1"/>
        <v>2544.7499999999995</v>
      </c>
      <c r="J18" s="83"/>
      <c r="N18" s="66"/>
    </row>
    <row r="19" spans="1:18" s="21" customFormat="1" x14ac:dyDescent="0.25">
      <c r="A19" s="53"/>
      <c r="B19" s="47"/>
      <c r="C19" s="53"/>
      <c r="D19" s="79"/>
      <c r="E19" s="56"/>
      <c r="F19" s="56"/>
      <c r="G19" s="56"/>
      <c r="H19" s="57"/>
      <c r="I19" s="56"/>
      <c r="J19" s="58"/>
      <c r="N19" s="66"/>
    </row>
    <row r="20" spans="1:18" ht="15.75" thickBot="1" x14ac:dyDescent="0.3">
      <c r="A20" s="33"/>
      <c r="B20" s="34" t="s">
        <v>24</v>
      </c>
      <c r="C20" s="35"/>
      <c r="D20" s="62">
        <f>SUM(D16:D19)</f>
        <v>70</v>
      </c>
      <c r="E20" s="35"/>
      <c r="F20" s="62">
        <f>SUM(F16:F19)</f>
        <v>33075</v>
      </c>
      <c r="G20" s="62">
        <f>SUM(G16:G19)</f>
        <v>5622.7500000000009</v>
      </c>
      <c r="H20" s="35"/>
      <c r="I20" s="62">
        <f>SUM(I16:I19)</f>
        <v>38697.75</v>
      </c>
      <c r="J20" s="37"/>
    </row>
    <row r="21" spans="1:18" ht="15.75" thickTop="1" x14ac:dyDescent="0.25">
      <c r="A21" s="33"/>
      <c r="B21" s="34" t="s">
        <v>1731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/>
      <c r="O22" s="65"/>
      <c r="P22" s="64"/>
      <c r="Q22" s="64"/>
      <c r="R22" s="64"/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/>
    </row>
    <row r="24" spans="1:18" x14ac:dyDescent="0.25">
      <c r="B24" t="s">
        <v>634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7C292EDB-850D-4F71-B6EE-AD84B36AAC50}"/>
  </hyperlinks>
  <pageMargins left="0.2" right="0.1" top="0.25" bottom="0.25" header="0.3" footer="0.3"/>
  <pageSetup paperSize="9" orientation="portrait" r:id="rId2"/>
  <drawing r:id="rId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ABD4E-8E5C-4377-AE3F-30031ED652EB}">
  <dimension ref="A1:J27"/>
  <sheetViews>
    <sheetView topLeftCell="A6" workbookViewId="0">
      <selection activeCell="A23" sqref="A2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1681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1794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1692</v>
      </c>
      <c r="D10" s="10"/>
      <c r="E10" s="10"/>
      <c r="F10" s="10"/>
    </row>
    <row r="11" spans="1:10" x14ac:dyDescent="0.25">
      <c r="B11" t="s">
        <v>11</v>
      </c>
      <c r="C11" s="132" t="s">
        <v>1693</v>
      </c>
      <c r="D11" s="11"/>
      <c r="E11" s="11"/>
      <c r="F11" s="11"/>
    </row>
    <row r="12" spans="1:10" x14ac:dyDescent="0.25">
      <c r="A12" s="12"/>
      <c r="B12" s="13"/>
      <c r="C12" s="132" t="s">
        <v>1694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1696</v>
      </c>
      <c r="C16" s="54" t="s">
        <v>1701</v>
      </c>
      <c r="D16" s="72">
        <v>5</v>
      </c>
      <c r="E16" s="56">
        <v>70</v>
      </c>
      <c r="F16" s="56">
        <f t="shared" ref="F16:F18" si="0">D16*E16</f>
        <v>350</v>
      </c>
      <c r="G16" s="56">
        <f>F16*0</f>
        <v>0</v>
      </c>
      <c r="H16" s="84">
        <f>E16*1</f>
        <v>70</v>
      </c>
      <c r="I16" s="56">
        <f t="shared" ref="I16:I18" si="1">H16*D16</f>
        <v>350</v>
      </c>
      <c r="J16" s="58"/>
    </row>
    <row r="17" spans="1:10" s="21" customFormat="1" x14ac:dyDescent="0.25">
      <c r="A17" s="53">
        <v>2</v>
      </c>
      <c r="B17" s="47" t="s">
        <v>1697</v>
      </c>
      <c r="C17" s="54" t="s">
        <v>1701</v>
      </c>
      <c r="D17" s="72">
        <v>10</v>
      </c>
      <c r="E17" s="56">
        <v>70</v>
      </c>
      <c r="F17" s="56">
        <f t="shared" si="0"/>
        <v>700</v>
      </c>
      <c r="G17" s="56">
        <f>F17*0</f>
        <v>0</v>
      </c>
      <c r="H17" s="84">
        <f>E17*1</f>
        <v>70</v>
      </c>
      <c r="I17" s="56">
        <f t="shared" si="1"/>
        <v>700</v>
      </c>
      <c r="J17" s="58"/>
    </row>
    <row r="18" spans="1:10" s="21" customFormat="1" x14ac:dyDescent="0.25">
      <c r="A18" s="53">
        <v>3</v>
      </c>
      <c r="B18" s="47" t="s">
        <v>1698</v>
      </c>
      <c r="C18" s="54" t="s">
        <v>1701</v>
      </c>
      <c r="D18" s="72">
        <v>10</v>
      </c>
      <c r="E18" s="56">
        <v>90</v>
      </c>
      <c r="F18" s="56">
        <f t="shared" si="0"/>
        <v>900</v>
      </c>
      <c r="G18" s="56">
        <f>F18*0</f>
        <v>0</v>
      </c>
      <c r="H18" s="84">
        <f>E18*1</f>
        <v>90</v>
      </c>
      <c r="I18" s="56">
        <f t="shared" si="1"/>
        <v>900</v>
      </c>
      <c r="J18" s="58"/>
    </row>
    <row r="19" spans="1:10" ht="15.75" thickBot="1" x14ac:dyDescent="0.3">
      <c r="A19" s="33"/>
      <c r="B19" s="34" t="s">
        <v>24</v>
      </c>
      <c r="C19" s="35"/>
      <c r="D19" s="62">
        <f>SUM(D16:D18)</f>
        <v>25</v>
      </c>
      <c r="E19" s="35"/>
      <c r="F19" s="62">
        <f>SUM(F16:F18)</f>
        <v>1950</v>
      </c>
      <c r="G19" s="62">
        <f>SUM(G16:G18)</f>
        <v>0</v>
      </c>
      <c r="H19" s="35"/>
      <c r="I19" s="62">
        <f>SUM(I16:I18)</f>
        <v>1950</v>
      </c>
      <c r="J19" s="37"/>
    </row>
    <row r="20" spans="1:10" ht="15.75" thickTop="1" x14ac:dyDescent="0.25">
      <c r="A20" s="33"/>
      <c r="B20" s="34" t="s">
        <v>1795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634</v>
      </c>
    </row>
    <row r="26" spans="1:10" x14ac:dyDescent="0.25">
      <c r="B26" t="s">
        <v>28</v>
      </c>
      <c r="H26" t="s">
        <v>28</v>
      </c>
    </row>
    <row r="27" spans="1:10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604578FA-C141-4C2A-9465-26C0A89BDB75}"/>
  </hyperlinks>
  <pageMargins left="0.2" right="0.1" top="0.25" bottom="0.25" header="0.3" footer="0.3"/>
  <pageSetup paperSize="9" orientation="portrait" r:id="rId2"/>
  <drawing r:id="rId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0EB3B-40EB-4D89-98E1-78B291C833DB}">
  <dimension ref="A1:R29"/>
  <sheetViews>
    <sheetView topLeftCell="A7" workbookViewId="0">
      <selection activeCell="B22" sqref="B2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1722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1721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1723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1677</v>
      </c>
      <c r="C16" s="53" t="s">
        <v>987</v>
      </c>
      <c r="D16" s="79">
        <v>2</v>
      </c>
      <c r="E16" s="56">
        <v>180</v>
      </c>
      <c r="F16" s="56">
        <f>D16*E16</f>
        <v>360</v>
      </c>
      <c r="G16" s="56">
        <f>F16*0.17</f>
        <v>61.2</v>
      </c>
      <c r="H16" s="125">
        <f>E16*1.17</f>
        <v>210.6</v>
      </c>
      <c r="I16" s="56">
        <f t="shared" ref="I16:I18" si="0">H16*D16</f>
        <v>421.2</v>
      </c>
      <c r="J16" s="83"/>
      <c r="N16" s="66"/>
    </row>
    <row r="17" spans="1:18" s="21" customFormat="1" ht="15.75" x14ac:dyDescent="0.25">
      <c r="A17" s="53">
        <v>2</v>
      </c>
      <c r="B17" s="78" t="s">
        <v>1437</v>
      </c>
      <c r="C17" s="53" t="s">
        <v>987</v>
      </c>
      <c r="D17" s="79">
        <v>10</v>
      </c>
      <c r="E17" s="56">
        <v>90</v>
      </c>
      <c r="F17" s="56">
        <f>D17*E17</f>
        <v>900</v>
      </c>
      <c r="G17" s="56">
        <f>F17*0.17</f>
        <v>153</v>
      </c>
      <c r="H17" s="125">
        <f>E17*1.17</f>
        <v>105.3</v>
      </c>
      <c r="I17" s="56">
        <f t="shared" ref="I17" si="1">H17*D17</f>
        <v>1053</v>
      </c>
      <c r="J17" s="83"/>
      <c r="N17" s="66"/>
    </row>
    <row r="18" spans="1:18" s="21" customFormat="1" ht="15.75" x14ac:dyDescent="0.25">
      <c r="A18" s="53">
        <v>3</v>
      </c>
      <c r="B18" s="78" t="s">
        <v>1724</v>
      </c>
      <c r="C18" s="53" t="s">
        <v>987</v>
      </c>
      <c r="D18" s="79">
        <v>1</v>
      </c>
      <c r="E18" s="56">
        <v>950</v>
      </c>
      <c r="F18" s="56">
        <f>D18*E18</f>
        <v>950</v>
      </c>
      <c r="G18" s="56">
        <f>F18*0.17</f>
        <v>161.5</v>
      </c>
      <c r="H18" s="125">
        <f>E18*1.17</f>
        <v>1111.5</v>
      </c>
      <c r="I18" s="56">
        <f t="shared" si="0"/>
        <v>1111.5</v>
      </c>
      <c r="J18" s="83"/>
      <c r="N18" s="66"/>
    </row>
    <row r="19" spans="1:18" s="21" customFormat="1" ht="15.75" x14ac:dyDescent="0.25">
      <c r="A19" s="53">
        <v>4</v>
      </c>
      <c r="B19" s="78" t="s">
        <v>1725</v>
      </c>
      <c r="C19" s="53" t="s">
        <v>987</v>
      </c>
      <c r="D19" s="79">
        <v>1</v>
      </c>
      <c r="E19" s="56">
        <v>2250</v>
      </c>
      <c r="F19" s="56">
        <f>D19*E19</f>
        <v>2250</v>
      </c>
      <c r="G19" s="56">
        <f>F19*0.17</f>
        <v>382.5</v>
      </c>
      <c r="H19" s="125">
        <f>E19*1.17</f>
        <v>2632.5</v>
      </c>
      <c r="I19" s="56">
        <f t="shared" ref="I19" si="2">H19*D19</f>
        <v>2632.5</v>
      </c>
      <c r="J19" s="83"/>
      <c r="N19" s="66"/>
    </row>
    <row r="20" spans="1:18" s="21" customFormat="1" x14ac:dyDescent="0.25">
      <c r="A20" s="53"/>
      <c r="B20" s="47"/>
      <c r="C20" s="53"/>
      <c r="D20" s="79"/>
      <c r="E20" s="56"/>
      <c r="F20" s="56"/>
      <c r="G20" s="56"/>
      <c r="H20" s="57"/>
      <c r="I20" s="56"/>
      <c r="J20" s="58"/>
      <c r="N20" s="66"/>
    </row>
    <row r="21" spans="1:18" ht="15.75" thickBot="1" x14ac:dyDescent="0.3">
      <c r="A21" s="33"/>
      <c r="B21" s="34" t="s">
        <v>24</v>
      </c>
      <c r="C21" s="35"/>
      <c r="D21" s="62">
        <f>SUM(D16:D20)</f>
        <v>14</v>
      </c>
      <c r="E21" s="35"/>
      <c r="F21" s="62">
        <f>SUM(F16:F20)</f>
        <v>4460</v>
      </c>
      <c r="G21" s="62">
        <f>SUM(G16:G20)</f>
        <v>758.2</v>
      </c>
      <c r="H21" s="35"/>
      <c r="I21" s="62">
        <f>SUM(I16:I20)</f>
        <v>5218.2</v>
      </c>
      <c r="J21" s="37"/>
    </row>
    <row r="22" spans="1:18" ht="15.75" thickTop="1" x14ac:dyDescent="0.25">
      <c r="A22" s="33"/>
      <c r="B22" s="34" t="s">
        <v>1726</v>
      </c>
      <c r="C22" s="35"/>
      <c r="D22" s="35"/>
      <c r="E22" s="35"/>
      <c r="F22" s="35"/>
      <c r="G22" s="35"/>
      <c r="H22" s="35"/>
      <c r="I22" s="35"/>
      <c r="J22" s="37"/>
    </row>
    <row r="23" spans="1:18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  <c r="M23" s="64"/>
      <c r="O23" s="65"/>
      <c r="P23" s="64"/>
      <c r="Q23" s="64"/>
      <c r="R23" s="64"/>
    </row>
    <row r="24" spans="1:18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  <c r="P24" s="64"/>
      <c r="R24" s="65"/>
    </row>
    <row r="25" spans="1:18" x14ac:dyDescent="0.25">
      <c r="B25" t="s">
        <v>634</v>
      </c>
    </row>
    <row r="28" spans="1:18" x14ac:dyDescent="0.25">
      <c r="B28" t="s">
        <v>28</v>
      </c>
      <c r="H28" t="s">
        <v>28</v>
      </c>
    </row>
    <row r="29" spans="1:18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00E74233-B1A1-47CD-81E3-84E9DA3DD0DA}"/>
  </hyperlinks>
  <pageMargins left="0.2" right="0.1" top="0.25" bottom="0.25" header="0.3" footer="0.3"/>
  <pageSetup paperSize="9" orientation="portrait" r:id="rId2"/>
  <drawing r:id="rId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D665D-F7D6-47FB-A71C-730945549F52}">
  <dimension ref="A1:R28"/>
  <sheetViews>
    <sheetView topLeftCell="A8" workbookViewId="0">
      <selection activeCell="B11" sqref="B1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1714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1713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1715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6" t="s">
        <v>1636</v>
      </c>
      <c r="M15" s="21" t="s">
        <v>738</v>
      </c>
    </row>
    <row r="16" spans="1:15" s="21" customFormat="1" x14ac:dyDescent="0.25">
      <c r="A16" s="53">
        <v>1</v>
      </c>
      <c r="B16" s="47" t="s">
        <v>1716</v>
      </c>
      <c r="C16" s="53" t="s">
        <v>1234</v>
      </c>
      <c r="D16" s="79">
        <v>19</v>
      </c>
      <c r="E16" s="82">
        <v>48</v>
      </c>
      <c r="F16" s="56">
        <f t="shared" ref="F16:F19" si="0">D16*E16</f>
        <v>912</v>
      </c>
      <c r="G16" s="56">
        <f t="shared" ref="G16:G17" si="1">F16*0.17</f>
        <v>155.04000000000002</v>
      </c>
      <c r="H16" s="57">
        <f t="shared" ref="H16:H17" si="2">E16*1.17</f>
        <v>56.16</v>
      </c>
      <c r="I16" s="56">
        <f t="shared" ref="I16:I19" si="3">H16*D16</f>
        <v>1067.04</v>
      </c>
      <c r="J16" s="131" t="s">
        <v>1719</v>
      </c>
      <c r="M16" s="21">
        <f t="shared" ref="M16:M19" si="4">440*1.02</f>
        <v>448.8</v>
      </c>
      <c r="N16" s="66" t="e">
        <f>M16-#REF!</f>
        <v>#REF!</v>
      </c>
      <c r="O16" s="21" t="e">
        <f t="shared" ref="O16:O19" si="5">N16*D16</f>
        <v>#REF!</v>
      </c>
    </row>
    <row r="17" spans="1:18" s="21" customFormat="1" x14ac:dyDescent="0.25">
      <c r="A17" s="53">
        <v>2</v>
      </c>
      <c r="B17" s="47" t="s">
        <v>1718</v>
      </c>
      <c r="C17" s="53" t="s">
        <v>1234</v>
      </c>
      <c r="D17" s="79">
        <v>19</v>
      </c>
      <c r="E17" s="82">
        <v>28</v>
      </c>
      <c r="F17" s="56">
        <f t="shared" si="0"/>
        <v>532</v>
      </c>
      <c r="G17" s="56">
        <f t="shared" si="1"/>
        <v>90.440000000000012</v>
      </c>
      <c r="H17" s="57">
        <f t="shared" si="2"/>
        <v>32.76</v>
      </c>
      <c r="I17" s="56">
        <f t="shared" si="3"/>
        <v>622.43999999999994</v>
      </c>
      <c r="J17" s="131" t="s">
        <v>1719</v>
      </c>
      <c r="M17" s="21">
        <f t="shared" si="4"/>
        <v>448.8</v>
      </c>
      <c r="N17" s="66" t="e">
        <f>M17-#REF!</f>
        <v>#REF!</v>
      </c>
      <c r="O17" s="21" t="e">
        <f t="shared" si="5"/>
        <v>#REF!</v>
      </c>
    </row>
    <row r="18" spans="1:18" s="21" customFormat="1" x14ac:dyDescent="0.25">
      <c r="A18" s="53">
        <v>3</v>
      </c>
      <c r="B18" s="47" t="s">
        <v>1717</v>
      </c>
      <c r="C18" s="53" t="s">
        <v>1234</v>
      </c>
      <c r="D18" s="79">
        <v>11</v>
      </c>
      <c r="E18" s="82">
        <v>58</v>
      </c>
      <c r="F18" s="56">
        <f t="shared" si="0"/>
        <v>638</v>
      </c>
      <c r="G18" s="56">
        <f t="shared" ref="G18" si="6">F18*0.17</f>
        <v>108.46000000000001</v>
      </c>
      <c r="H18" s="57">
        <f t="shared" ref="H18" si="7">E18*1.17</f>
        <v>67.86</v>
      </c>
      <c r="I18" s="56">
        <f t="shared" si="3"/>
        <v>746.46</v>
      </c>
      <c r="J18" s="131" t="s">
        <v>1719</v>
      </c>
      <c r="M18" s="21">
        <f t="shared" si="4"/>
        <v>448.8</v>
      </c>
      <c r="N18" s="66" t="e">
        <f>M18-#REF!</f>
        <v>#REF!</v>
      </c>
      <c r="O18" s="21" t="e">
        <f t="shared" si="5"/>
        <v>#REF!</v>
      </c>
    </row>
    <row r="19" spans="1:18" s="21" customFormat="1" x14ac:dyDescent="0.25">
      <c r="A19" s="53"/>
      <c r="B19" s="47"/>
      <c r="C19" s="82"/>
      <c r="D19" s="57"/>
      <c r="E19" s="56"/>
      <c r="F19" s="56">
        <f t="shared" si="0"/>
        <v>0</v>
      </c>
      <c r="G19" s="56">
        <f t="shared" ref="G19" si="8">F19*0.17</f>
        <v>0</v>
      </c>
      <c r="H19" s="57">
        <f t="shared" ref="H19" si="9">E19*1.17</f>
        <v>0</v>
      </c>
      <c r="I19" s="56">
        <f t="shared" si="3"/>
        <v>0</v>
      </c>
      <c r="J19" s="58"/>
      <c r="M19" s="21">
        <f t="shared" si="4"/>
        <v>448.8</v>
      </c>
      <c r="N19" s="66" t="e">
        <f>M19-#REF!</f>
        <v>#REF!</v>
      </c>
      <c r="O19" s="21" t="e">
        <f t="shared" si="5"/>
        <v>#REF!</v>
      </c>
    </row>
    <row r="20" spans="1:18" ht="15.75" thickBot="1" x14ac:dyDescent="0.3">
      <c r="A20" s="33"/>
      <c r="B20" s="34" t="s">
        <v>24</v>
      </c>
      <c r="C20" s="35"/>
      <c r="D20" s="62">
        <f>SUM(D16:D19)</f>
        <v>49</v>
      </c>
      <c r="E20" s="35"/>
      <c r="F20" s="62">
        <f>SUM(F16:F19)</f>
        <v>2082</v>
      </c>
      <c r="G20" s="62">
        <f>SUM(G16:G19)</f>
        <v>353.94000000000005</v>
      </c>
      <c r="H20" s="35"/>
      <c r="I20" s="62">
        <f>SUM(I16:I19)</f>
        <v>2435.94</v>
      </c>
      <c r="J20" s="37"/>
      <c r="M20" t="e">
        <f>#REF!/117*100</f>
        <v>#REF!</v>
      </c>
      <c r="O20" t="e">
        <f>M20*1.1</f>
        <v>#REF!</v>
      </c>
    </row>
    <row r="21" spans="1:18" ht="15.75" thickTop="1" x14ac:dyDescent="0.25">
      <c r="A21" s="33"/>
      <c r="B21" s="34" t="s">
        <v>1720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 t="e">
        <f>M20*#REF!</f>
        <v>#REF!</v>
      </c>
      <c r="O22" s="65" t="e">
        <f>#REF!</f>
        <v>#REF!</v>
      </c>
      <c r="P22" s="64" t="e">
        <f>O22-M22</f>
        <v>#REF!</v>
      </c>
      <c r="Q22" s="64" t="e">
        <f>#REF!*0.045</f>
        <v>#REF!</v>
      </c>
      <c r="R22" s="64" t="e">
        <f>P22-Q22</f>
        <v>#REF!</v>
      </c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 t="e">
        <f>#REF!-#REF!</f>
        <v>#REF!</v>
      </c>
    </row>
    <row r="24" spans="1:18" x14ac:dyDescent="0.25">
      <c r="B24" t="s">
        <v>27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CC084FC0-4926-4546-BFC2-ED5A95D10624}"/>
  </hyperlinks>
  <pageMargins left="0.2" right="0.1" top="0.25" bottom="0.25" header="0.3" footer="0.3"/>
  <pageSetup paperSize="9" orientation="portrait" r:id="rId2"/>
  <drawing r:id="rId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246D8-8FCF-4FE3-8805-CF4A055E3B1F}">
  <dimension ref="A1:R27"/>
  <sheetViews>
    <sheetView workbookViewId="0">
      <selection activeCell="A8" sqref="A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1649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1710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1708</v>
      </c>
      <c r="D10" s="10"/>
      <c r="E10" s="10"/>
      <c r="F10" s="10"/>
    </row>
    <row r="11" spans="1:14" x14ac:dyDescent="0.25">
      <c r="B11" t="s">
        <v>11</v>
      </c>
      <c r="C11" s="10" t="s">
        <v>1641</v>
      </c>
      <c r="D11" s="11"/>
      <c r="E11" s="11"/>
      <c r="F11" s="11"/>
    </row>
    <row r="12" spans="1:14" x14ac:dyDescent="0.25">
      <c r="A12" s="12"/>
      <c r="B12" s="13"/>
      <c r="C12" s="14" t="s">
        <v>1642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4" s="21" customFormat="1" ht="15.75" x14ac:dyDescent="0.25">
      <c r="A16" s="53">
        <v>1</v>
      </c>
      <c r="B16" s="78" t="s">
        <v>1645</v>
      </c>
      <c r="C16" s="53" t="s">
        <v>987</v>
      </c>
      <c r="D16" s="79">
        <v>6</v>
      </c>
      <c r="E16" s="56">
        <v>3000</v>
      </c>
      <c r="F16" s="56">
        <f t="shared" ref="F16:F18" si="0">D16*E16</f>
        <v>18000</v>
      </c>
      <c r="G16" s="56">
        <f t="shared" ref="G16:G18" si="1">F16*0.17</f>
        <v>3060</v>
      </c>
      <c r="H16" s="129">
        <f t="shared" ref="H16:H18" si="2">E16*1.17</f>
        <v>3510</v>
      </c>
      <c r="I16" s="56">
        <f t="shared" ref="I16:I18" si="3">H16*D16</f>
        <v>21060</v>
      </c>
      <c r="J16" s="83"/>
      <c r="N16" s="66"/>
    </row>
    <row r="17" spans="1:18" s="21" customFormat="1" ht="15.75" x14ac:dyDescent="0.25">
      <c r="A17" s="53">
        <v>2</v>
      </c>
      <c r="B17" s="78" t="s">
        <v>1646</v>
      </c>
      <c r="C17" s="53" t="s">
        <v>987</v>
      </c>
      <c r="D17" s="79">
        <v>6</v>
      </c>
      <c r="E17" s="56">
        <v>3000</v>
      </c>
      <c r="F17" s="56">
        <f t="shared" si="0"/>
        <v>18000</v>
      </c>
      <c r="G17" s="56">
        <f t="shared" si="1"/>
        <v>3060</v>
      </c>
      <c r="H17" s="129">
        <f t="shared" si="2"/>
        <v>3510</v>
      </c>
      <c r="I17" s="56">
        <f t="shared" si="3"/>
        <v>21060</v>
      </c>
      <c r="J17" s="83"/>
      <c r="L17" s="21" t="s">
        <v>1571</v>
      </c>
      <c r="M17" s="21">
        <f>30*160</f>
        <v>4800</v>
      </c>
      <c r="N17" s="66">
        <f>M17*D17</f>
        <v>28800</v>
      </c>
    </row>
    <row r="18" spans="1:18" s="21" customFormat="1" x14ac:dyDescent="0.25">
      <c r="A18" s="53"/>
      <c r="B18" s="47"/>
      <c r="C18" s="82"/>
      <c r="D18" s="57"/>
      <c r="E18" s="56"/>
      <c r="F18" s="56">
        <f t="shared" si="0"/>
        <v>0</v>
      </c>
      <c r="G18" s="56">
        <f t="shared" si="1"/>
        <v>0</v>
      </c>
      <c r="H18" s="129">
        <f t="shared" si="2"/>
        <v>0</v>
      </c>
      <c r="I18" s="56">
        <f t="shared" si="3"/>
        <v>0</v>
      </c>
      <c r="J18" s="58"/>
      <c r="M18" s="21">
        <f t="shared" ref="M18" si="4">440*1.02</f>
        <v>448.8</v>
      </c>
      <c r="N18" s="66" t="e">
        <f>#REF!+N17</f>
        <v>#REF!</v>
      </c>
      <c r="O18" s="21" t="e">
        <f t="shared" ref="O18" si="5">N18*D18</f>
        <v>#REF!</v>
      </c>
    </row>
    <row r="19" spans="1:18" ht="15.75" thickBot="1" x14ac:dyDescent="0.3">
      <c r="A19" s="33"/>
      <c r="B19" s="34" t="s">
        <v>24</v>
      </c>
      <c r="C19" s="35"/>
      <c r="D19" s="62">
        <f>SUM(D16:D18)</f>
        <v>12</v>
      </c>
      <c r="E19" s="35"/>
      <c r="F19" s="62">
        <f>SUM(F16:F18)</f>
        <v>36000</v>
      </c>
      <c r="G19" s="62">
        <f>SUM(G16:G18)</f>
        <v>6120</v>
      </c>
      <c r="H19" s="35"/>
      <c r="I19" s="62">
        <f>SUM(I16:I18)</f>
        <v>42120</v>
      </c>
      <c r="J19" s="37"/>
      <c r="M19" t="e">
        <f>#REF!/117*100</f>
        <v>#REF!</v>
      </c>
      <c r="O19" t="e">
        <f>M19*1.1</f>
        <v>#REF!</v>
      </c>
    </row>
    <row r="20" spans="1:18" ht="15.75" thickTop="1" x14ac:dyDescent="0.25">
      <c r="A20" s="33"/>
      <c r="B20" s="34" t="s">
        <v>1709</v>
      </c>
      <c r="C20" s="35"/>
      <c r="D20" s="35"/>
      <c r="E20" s="35"/>
      <c r="F20" s="35"/>
      <c r="G20" s="35"/>
      <c r="H20" s="35"/>
      <c r="I20" s="35"/>
      <c r="J20" s="37"/>
    </row>
    <row r="21" spans="1:18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  <c r="M21" s="64" t="e">
        <f>M19*#REF!</f>
        <v>#REF!</v>
      </c>
      <c r="O21" s="65" t="e">
        <f>#REF!</f>
        <v>#REF!</v>
      </c>
      <c r="P21" s="64" t="e">
        <f>O21-M21</f>
        <v>#REF!</v>
      </c>
      <c r="Q21" s="64" t="e">
        <f>#REF!*0.045</f>
        <v>#REF!</v>
      </c>
      <c r="R21" s="64" t="e">
        <f>P21-Q21</f>
        <v>#REF!</v>
      </c>
    </row>
    <row r="22" spans="1:18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  <c r="P22" s="64"/>
      <c r="R22" s="65" t="e">
        <f>#REF!-#REF!</f>
        <v>#REF!</v>
      </c>
    </row>
    <row r="23" spans="1:18" x14ac:dyDescent="0.25">
      <c r="B23" t="s">
        <v>634</v>
      </c>
    </row>
    <row r="26" spans="1:18" x14ac:dyDescent="0.25">
      <c r="B26" t="s">
        <v>28</v>
      </c>
      <c r="H26" t="s">
        <v>28</v>
      </c>
    </row>
    <row r="27" spans="1:18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7180015C-F9A8-46C2-9B88-382D8492F781}"/>
  </hyperlinks>
  <pageMargins left="0.2" right="0.1" top="0.25" bottom="0.25" header="0.3" footer="0.3"/>
  <pageSetup paperSize="9" orientation="portrait" r:id="rId2"/>
  <drawing r:id="rId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4033-A080-4A5B-AFA6-D87C187E69AA}">
  <dimension ref="A1:R26"/>
  <sheetViews>
    <sheetView workbookViewId="0">
      <selection activeCell="A8" sqref="A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1649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1707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1704</v>
      </c>
      <c r="D10" s="10"/>
      <c r="E10" s="10"/>
      <c r="F10" s="10"/>
    </row>
    <row r="11" spans="1:14" x14ac:dyDescent="0.25">
      <c r="B11" t="s">
        <v>11</v>
      </c>
      <c r="C11" s="10" t="s">
        <v>1705</v>
      </c>
      <c r="D11" s="11"/>
      <c r="E11" s="11"/>
      <c r="F11" s="11"/>
    </row>
    <row r="12" spans="1:14" x14ac:dyDescent="0.25">
      <c r="A12" s="12"/>
      <c r="B12" s="13"/>
      <c r="C12" s="14" t="s">
        <v>1706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4" s="21" customFormat="1" ht="25.5" x14ac:dyDescent="0.25">
      <c r="A16" s="53">
        <v>1</v>
      </c>
      <c r="B16" s="78" t="s">
        <v>1647</v>
      </c>
      <c r="C16" s="53" t="s">
        <v>987</v>
      </c>
      <c r="D16" s="79">
        <v>2</v>
      </c>
      <c r="E16" s="56">
        <v>5000</v>
      </c>
      <c r="F16" s="56">
        <f t="shared" ref="F16:F17" si="0">D16*E16</f>
        <v>10000</v>
      </c>
      <c r="G16" s="56">
        <f t="shared" ref="G16:G17" si="1">F16*0.17</f>
        <v>1700.0000000000002</v>
      </c>
      <c r="H16" s="129">
        <f t="shared" ref="H16:H17" si="2">E16*1.17</f>
        <v>5850</v>
      </c>
      <c r="I16" s="56">
        <f t="shared" ref="I16:I17" si="3">H16*D16</f>
        <v>11700</v>
      </c>
      <c r="J16" s="83"/>
      <c r="L16" s="21" t="s">
        <v>1571</v>
      </c>
      <c r="M16" s="21">
        <f>30*160</f>
        <v>4800</v>
      </c>
      <c r="N16" s="66">
        <f>M16*D16</f>
        <v>9600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si="0"/>
        <v>0</v>
      </c>
      <c r="G17" s="56">
        <f t="shared" si="1"/>
        <v>0</v>
      </c>
      <c r="H17" s="129">
        <f t="shared" si="2"/>
        <v>0</v>
      </c>
      <c r="I17" s="56">
        <f t="shared" si="3"/>
        <v>0</v>
      </c>
      <c r="J17" s="58"/>
      <c r="M17" s="21">
        <f t="shared" ref="M17" si="4">440*1.02</f>
        <v>448.8</v>
      </c>
      <c r="N17" s="66" t="e">
        <f>#REF!+#REF!</f>
        <v>#REF!</v>
      </c>
      <c r="O17" s="21" t="e">
        <f t="shared" ref="O17" si="5">N17*D17</f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2</v>
      </c>
      <c r="E18" s="35"/>
      <c r="F18" s="62">
        <f>SUM(F16:F17)</f>
        <v>10000</v>
      </c>
      <c r="G18" s="62">
        <f>SUM(G16:G17)</f>
        <v>1700.0000000000002</v>
      </c>
      <c r="H18" s="35"/>
      <c r="I18" s="62">
        <f>SUM(I16:I17)</f>
        <v>11700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1703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E1FB02FF-520F-451F-BC52-A8E5AC4050FE}"/>
  </hyperlinks>
  <pageMargins left="0.2" right="0.1" top="0.25" bottom="0.25" header="0.3" footer="0.3"/>
  <pageSetup paperSize="9" orientation="portrait" r:id="rId2"/>
  <drawing r:id="rId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35F00-6E1B-49C2-81FA-5B32207B256C}">
  <dimension ref="A1:J30"/>
  <sheetViews>
    <sheetView workbookViewId="0">
      <selection activeCell="A17" sqref="A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1681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1695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1692</v>
      </c>
      <c r="D10" s="10"/>
      <c r="E10" s="10"/>
      <c r="F10" s="10"/>
    </row>
    <row r="11" spans="1:10" x14ac:dyDescent="0.25">
      <c r="B11" t="s">
        <v>11</v>
      </c>
      <c r="C11" s="132" t="s">
        <v>1693</v>
      </c>
      <c r="D11" s="11"/>
      <c r="E11" s="11"/>
      <c r="F11" s="11"/>
    </row>
    <row r="12" spans="1:10" x14ac:dyDescent="0.25">
      <c r="A12" s="12"/>
      <c r="B12" s="13"/>
      <c r="C12" s="132" t="s">
        <v>1694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930</v>
      </c>
      <c r="C16" s="54" t="s">
        <v>23</v>
      </c>
      <c r="D16" s="72">
        <v>5</v>
      </c>
      <c r="E16" s="56">
        <v>70</v>
      </c>
      <c r="F16" s="56">
        <f t="shared" ref="F16:F20" si="0">D16*E16</f>
        <v>350</v>
      </c>
      <c r="G16" s="56">
        <f t="shared" ref="G16:G21" si="1">F16*0.17</f>
        <v>59.500000000000007</v>
      </c>
      <c r="H16" s="84">
        <f t="shared" ref="H16:H21" si="2">E16*1.17</f>
        <v>81.899999999999991</v>
      </c>
      <c r="I16" s="56">
        <f t="shared" ref="I16:I20" si="3">H16*D16</f>
        <v>409.49999999999994</v>
      </c>
      <c r="J16" s="58"/>
    </row>
    <row r="17" spans="1:10" s="21" customFormat="1" x14ac:dyDescent="0.25">
      <c r="A17" s="53">
        <v>2</v>
      </c>
      <c r="B17" s="47" t="s">
        <v>531</v>
      </c>
      <c r="C17" s="54" t="s">
        <v>23</v>
      </c>
      <c r="D17" s="72">
        <v>5</v>
      </c>
      <c r="E17" s="56">
        <v>100</v>
      </c>
      <c r="F17" s="56">
        <f t="shared" ref="F17" si="4">D17*E17</f>
        <v>500</v>
      </c>
      <c r="G17" s="56">
        <f t="shared" si="1"/>
        <v>85</v>
      </c>
      <c r="H17" s="84">
        <f t="shared" si="2"/>
        <v>117</v>
      </c>
      <c r="I17" s="56">
        <f t="shared" ref="I17" si="5">H17*D17</f>
        <v>585</v>
      </c>
      <c r="J17" s="58"/>
    </row>
    <row r="18" spans="1:10" s="21" customFormat="1" x14ac:dyDescent="0.25">
      <c r="A18" s="53">
        <v>3</v>
      </c>
      <c r="B18" s="47" t="s">
        <v>442</v>
      </c>
      <c r="C18" s="54" t="s">
        <v>23</v>
      </c>
      <c r="D18" s="72">
        <v>7</v>
      </c>
      <c r="E18" s="56">
        <v>38</v>
      </c>
      <c r="F18" s="56">
        <f t="shared" ref="F18:F19" si="6">D18*E18</f>
        <v>266</v>
      </c>
      <c r="G18" s="56">
        <f t="shared" si="1"/>
        <v>45.220000000000006</v>
      </c>
      <c r="H18" s="84">
        <f t="shared" si="2"/>
        <v>44.459999999999994</v>
      </c>
      <c r="I18" s="56">
        <f t="shared" ref="I18:I19" si="7">H18*D18</f>
        <v>311.21999999999997</v>
      </c>
      <c r="J18" s="58"/>
    </row>
    <row r="19" spans="1:10" s="21" customFormat="1" x14ac:dyDescent="0.25">
      <c r="A19" s="53">
        <v>4</v>
      </c>
      <c r="B19" s="47" t="s">
        <v>75</v>
      </c>
      <c r="C19" s="54" t="s">
        <v>23</v>
      </c>
      <c r="D19" s="72">
        <v>24</v>
      </c>
      <c r="E19" s="56">
        <v>80</v>
      </c>
      <c r="F19" s="56">
        <f t="shared" si="6"/>
        <v>1920</v>
      </c>
      <c r="G19" s="56">
        <f t="shared" si="1"/>
        <v>326.40000000000003</v>
      </c>
      <c r="H19" s="84">
        <f t="shared" si="2"/>
        <v>93.6</v>
      </c>
      <c r="I19" s="56">
        <f t="shared" si="7"/>
        <v>2246.3999999999996</v>
      </c>
      <c r="J19" s="58"/>
    </row>
    <row r="20" spans="1:10" s="21" customFormat="1" x14ac:dyDescent="0.25">
      <c r="A20" s="53">
        <v>5</v>
      </c>
      <c r="B20" s="47" t="s">
        <v>1699</v>
      </c>
      <c r="C20" s="54" t="s">
        <v>23</v>
      </c>
      <c r="D20" s="72">
        <v>10</v>
      </c>
      <c r="E20" s="56">
        <v>42</v>
      </c>
      <c r="F20" s="56">
        <f t="shared" si="0"/>
        <v>420</v>
      </c>
      <c r="G20" s="56">
        <f t="shared" si="1"/>
        <v>71.400000000000006</v>
      </c>
      <c r="H20" s="84">
        <f t="shared" si="2"/>
        <v>49.14</v>
      </c>
      <c r="I20" s="56">
        <f t="shared" si="3"/>
        <v>491.4</v>
      </c>
      <c r="J20" s="58"/>
    </row>
    <row r="21" spans="1:10" s="21" customFormat="1" x14ac:dyDescent="0.25">
      <c r="A21" s="53">
        <v>6</v>
      </c>
      <c r="B21" s="47" t="s">
        <v>1700</v>
      </c>
      <c r="C21" s="54" t="s">
        <v>1701</v>
      </c>
      <c r="D21" s="72">
        <v>3</v>
      </c>
      <c r="E21" s="56">
        <v>125</v>
      </c>
      <c r="F21" s="56">
        <f t="shared" ref="F21" si="8">D21*E21</f>
        <v>375</v>
      </c>
      <c r="G21" s="56">
        <f t="shared" si="1"/>
        <v>63.750000000000007</v>
      </c>
      <c r="H21" s="84">
        <f t="shared" si="2"/>
        <v>146.25</v>
      </c>
      <c r="I21" s="56">
        <f t="shared" ref="I21" si="9">H21*D21</f>
        <v>438.75</v>
      </c>
      <c r="J21" s="58"/>
    </row>
    <row r="22" spans="1:10" ht="15.75" thickBot="1" x14ac:dyDescent="0.3">
      <c r="A22" s="33"/>
      <c r="B22" s="34" t="s">
        <v>24</v>
      </c>
      <c r="C22" s="35"/>
      <c r="D22" s="62">
        <f>SUM(D16:D21)</f>
        <v>54</v>
      </c>
      <c r="E22" s="35"/>
      <c r="F22" s="62">
        <f>SUM(F16:F21)</f>
        <v>3831</v>
      </c>
      <c r="G22" s="62">
        <f>SUM(G16:G21)</f>
        <v>651.27</v>
      </c>
      <c r="H22" s="35"/>
      <c r="I22" s="62">
        <f>SUM(I16:I21)</f>
        <v>4482.2700000000004</v>
      </c>
      <c r="J22" s="37"/>
    </row>
    <row r="23" spans="1:10" ht="15.75" thickTop="1" x14ac:dyDescent="0.25">
      <c r="A23" s="33"/>
      <c r="B23" s="34" t="s">
        <v>1793</v>
      </c>
      <c r="C23" s="35"/>
      <c r="D23" s="35"/>
      <c r="E23" s="35"/>
      <c r="F23" s="35"/>
      <c r="G23" s="35"/>
      <c r="H23" s="35"/>
      <c r="I23" s="35"/>
      <c r="J23" s="37"/>
    </row>
    <row r="24" spans="1:10" x14ac:dyDescent="0.25">
      <c r="A24" s="33"/>
      <c r="B24" s="38" t="s">
        <v>25</v>
      </c>
      <c r="C24" s="35"/>
      <c r="D24" s="35"/>
      <c r="E24" s="35"/>
      <c r="F24" s="35"/>
      <c r="G24" s="35"/>
      <c r="H24" s="35"/>
      <c r="I24" s="35"/>
      <c r="J24" s="37"/>
    </row>
    <row r="25" spans="1:10" ht="30" customHeight="1" x14ac:dyDescent="0.25">
      <c r="B25" s="183" t="s">
        <v>26</v>
      </c>
      <c r="C25" s="183"/>
      <c r="D25" s="183"/>
      <c r="E25" s="183"/>
      <c r="F25" s="183"/>
      <c r="G25" s="183"/>
      <c r="H25" s="183"/>
      <c r="I25" s="183"/>
      <c r="J25" s="183"/>
    </row>
    <row r="26" spans="1:10" x14ac:dyDescent="0.25">
      <c r="B26" t="s">
        <v>634</v>
      </c>
    </row>
    <row r="29" spans="1:10" x14ac:dyDescent="0.25">
      <c r="B29" t="s">
        <v>28</v>
      </c>
      <c r="H29" t="s">
        <v>28</v>
      </c>
    </row>
    <row r="30" spans="1:10" x14ac:dyDescent="0.25">
      <c r="B30" t="s">
        <v>29</v>
      </c>
      <c r="H30" t="s">
        <v>30</v>
      </c>
    </row>
  </sheetData>
  <autoFilter ref="A15:J26" xr:uid="{00000000-0009-0000-0000-000000000000}"/>
  <mergeCells count="5">
    <mergeCell ref="A6:J6"/>
    <mergeCell ref="I7:J7"/>
    <mergeCell ref="I8:J8"/>
    <mergeCell ref="I9:J9"/>
    <mergeCell ref="B25:J25"/>
  </mergeCells>
  <hyperlinks>
    <hyperlink ref="H5" r:id="rId1" xr:uid="{31AE044D-D7F9-4174-9388-B25DA927C5B6}"/>
  </hyperlinks>
  <pageMargins left="0.2" right="0.1" top="0.25" bottom="0.25" header="0.3" footer="0.3"/>
  <pageSetup paperSize="9" orientation="portrait" r:id="rId2"/>
  <drawing r:id="rId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FF93C-4830-49B7-AF2F-E5B4900E591C}">
  <dimension ref="A1:J25"/>
  <sheetViews>
    <sheetView topLeftCell="A5" workbookViewId="0">
      <selection activeCell="A15" sqref="A1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1681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1689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1690</v>
      </c>
      <c r="J9" s="188"/>
    </row>
    <row r="10" spans="1:10" x14ac:dyDescent="0.25">
      <c r="B10" t="s">
        <v>9</v>
      </c>
      <c r="C10" s="10" t="s">
        <v>1067</v>
      </c>
      <c r="D10" s="10"/>
      <c r="E10" s="10"/>
      <c r="F10" s="10"/>
    </row>
    <row r="11" spans="1:10" x14ac:dyDescent="0.25">
      <c r="B11" t="s">
        <v>11</v>
      </c>
      <c r="C11" s="10" t="s">
        <v>1068</v>
      </c>
      <c r="D11" s="11"/>
      <c r="E11" s="11"/>
      <c r="F11" s="11"/>
    </row>
    <row r="12" spans="1:10" x14ac:dyDescent="0.25">
      <c r="A12" s="12"/>
      <c r="B12" s="13"/>
      <c r="C12" s="14" t="s">
        <v>1069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1070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1058</v>
      </c>
      <c r="C16" s="54" t="s">
        <v>23</v>
      </c>
      <c r="D16" s="72">
        <v>6</v>
      </c>
      <c r="E16" s="56">
        <v>7500</v>
      </c>
      <c r="F16" s="56">
        <f t="shared" ref="F16" si="0">D16*E16</f>
        <v>45000</v>
      </c>
      <c r="G16" s="56">
        <f>F16*0.17</f>
        <v>7650.0000000000009</v>
      </c>
      <c r="H16" s="84">
        <f>E16*1.17</f>
        <v>8775</v>
      </c>
      <c r="I16" s="56">
        <f t="shared" ref="I16" si="1">H16*D16</f>
        <v>52650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6</v>
      </c>
      <c r="E17" s="35"/>
      <c r="F17" s="62">
        <f>SUM(F16:F16)</f>
        <v>45000</v>
      </c>
      <c r="G17" s="62">
        <f>SUM(G16:G16)</f>
        <v>7650.0000000000009</v>
      </c>
      <c r="H17" s="35"/>
      <c r="I17" s="62">
        <f>SUM(I16:I16)</f>
        <v>52650</v>
      </c>
      <c r="J17" s="37"/>
    </row>
    <row r="18" spans="1:10" ht="15.75" thickTop="1" x14ac:dyDescent="0.25">
      <c r="A18" s="33"/>
      <c r="B18" s="34" t="s">
        <v>1128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85710995-05B9-473C-8E17-A27BF392ACFD}"/>
  </hyperlinks>
  <pageMargins left="0.2" right="0.1" top="0.25" bottom="0.25" header="0.3" footer="0.3"/>
  <pageSetup paperSize="9" orientation="portrait" r:id="rId2"/>
  <drawing r:id="rId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DB3AD-49FB-4389-BAAB-2E39F7F519D2}">
  <dimension ref="A1:J25"/>
  <sheetViews>
    <sheetView topLeftCell="A4" workbookViewId="0">
      <selection activeCell="A7" sqref="A7:A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1681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1687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1688</v>
      </c>
      <c r="J9" s="188"/>
    </row>
    <row r="10" spans="1:10" x14ac:dyDescent="0.25">
      <c r="B10" t="s">
        <v>9</v>
      </c>
      <c r="C10" s="10" t="s">
        <v>1063</v>
      </c>
      <c r="D10" s="10"/>
      <c r="E10" s="10"/>
      <c r="F10" s="10"/>
    </row>
    <row r="11" spans="1:10" x14ac:dyDescent="0.25">
      <c r="B11" t="s">
        <v>11</v>
      </c>
      <c r="C11" s="11" t="s">
        <v>1222</v>
      </c>
      <c r="D11" s="11"/>
      <c r="E11" s="11"/>
      <c r="F11" s="11"/>
    </row>
    <row r="12" spans="1:10" x14ac:dyDescent="0.25">
      <c r="A12" s="12"/>
      <c r="B12" s="13"/>
      <c r="C12" s="11" t="s">
        <v>1223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1113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1058</v>
      </c>
      <c r="C16" s="54" t="s">
        <v>23</v>
      </c>
      <c r="D16" s="72">
        <v>6</v>
      </c>
      <c r="E16" s="56">
        <v>7500</v>
      </c>
      <c r="F16" s="56">
        <f t="shared" ref="F16" si="0">D16*E16</f>
        <v>45000</v>
      </c>
      <c r="G16" s="56">
        <f>F16*0.17</f>
        <v>7650.0000000000009</v>
      </c>
      <c r="H16" s="84">
        <f>E16*1.17</f>
        <v>8775</v>
      </c>
      <c r="I16" s="56">
        <f t="shared" ref="I16" si="1">H16*D16</f>
        <v>52650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6</v>
      </c>
      <c r="E17" s="35"/>
      <c r="F17" s="62">
        <f>SUM(F16:F16)</f>
        <v>45000</v>
      </c>
      <c r="G17" s="62">
        <f>SUM(G16:G16)</f>
        <v>7650.0000000000009</v>
      </c>
      <c r="H17" s="35"/>
      <c r="I17" s="62">
        <f>SUM(I16:I16)</f>
        <v>52650</v>
      </c>
      <c r="J17" s="37"/>
    </row>
    <row r="18" spans="1:10" ht="15.75" thickTop="1" x14ac:dyDescent="0.25">
      <c r="A18" s="33"/>
      <c r="B18" s="34" t="s">
        <v>1128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59C70FED-646E-4687-B770-08E7A60691A5}"/>
  </hyperlinks>
  <pageMargins left="0.2" right="0.1" top="0.25" bottom="0.25" header="0.3" footer="0.3"/>
  <pageSetup paperSize="9" orientation="portrait" r:id="rId2"/>
  <drawing r:id="rId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C3DA1-9355-4C22-A614-686DEED0AC3B}">
  <dimension ref="A1:J26"/>
  <sheetViews>
    <sheetView topLeftCell="A8" workbookViewId="0">
      <selection activeCell="A23" sqref="A2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1681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1684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1685</v>
      </c>
      <c r="J9" s="188"/>
    </row>
    <row r="10" spans="1:10" x14ac:dyDescent="0.25">
      <c r="B10" t="s">
        <v>9</v>
      </c>
      <c r="C10" s="10" t="s">
        <v>1008</v>
      </c>
      <c r="D10" s="10"/>
      <c r="E10" s="10"/>
      <c r="F10" s="10"/>
    </row>
    <row r="11" spans="1:10" x14ac:dyDescent="0.25">
      <c r="B11" t="s">
        <v>11</v>
      </c>
      <c r="C11" s="10" t="s">
        <v>999</v>
      </c>
      <c r="D11" s="11"/>
      <c r="E11" s="11"/>
      <c r="F11" s="11"/>
    </row>
    <row r="12" spans="1:10" x14ac:dyDescent="0.25">
      <c r="A12" s="12"/>
      <c r="B12" s="13"/>
      <c r="C12" s="14" t="s">
        <v>1000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1009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2</v>
      </c>
      <c r="B16" s="47" t="s">
        <v>1002</v>
      </c>
      <c r="C16" s="54" t="s">
        <v>23</v>
      </c>
      <c r="D16" s="72">
        <v>4</v>
      </c>
      <c r="E16" s="56">
        <v>3200</v>
      </c>
      <c r="F16" s="56">
        <f t="shared" ref="F16:F17" si="0">D16*E16</f>
        <v>12800</v>
      </c>
      <c r="G16" s="56">
        <f>F16*0.17</f>
        <v>2176</v>
      </c>
      <c r="H16" s="84">
        <f>E16*1.17</f>
        <v>3744</v>
      </c>
      <c r="I16" s="56">
        <f t="shared" ref="I16:I17" si="1">H16*D16</f>
        <v>14976</v>
      </c>
      <c r="J16" s="58"/>
    </row>
    <row r="17" spans="1:10" s="21" customFormat="1" ht="30" x14ac:dyDescent="0.25">
      <c r="A17" s="53">
        <v>3</v>
      </c>
      <c r="B17" s="47" t="s">
        <v>1059</v>
      </c>
      <c r="C17" s="54" t="s">
        <v>23</v>
      </c>
      <c r="D17" s="72">
        <v>3</v>
      </c>
      <c r="E17" s="56">
        <v>2500</v>
      </c>
      <c r="F17" s="56">
        <f t="shared" si="0"/>
        <v>7500</v>
      </c>
      <c r="G17" s="56">
        <f>F17*0.17</f>
        <v>1275</v>
      </c>
      <c r="H17" s="84">
        <f>E17*1.17</f>
        <v>2925</v>
      </c>
      <c r="I17" s="56">
        <f t="shared" si="1"/>
        <v>8775</v>
      </c>
      <c r="J17" s="58"/>
    </row>
    <row r="18" spans="1:10" ht="15.75" thickBot="1" x14ac:dyDescent="0.3">
      <c r="A18" s="33"/>
      <c r="B18" s="34" t="s">
        <v>24</v>
      </c>
      <c r="C18" s="35"/>
      <c r="D18" s="62">
        <f>SUM(D16:D17)</f>
        <v>7</v>
      </c>
      <c r="E18" s="35"/>
      <c r="F18" s="62">
        <f>SUM(F16:F17)</f>
        <v>20300</v>
      </c>
      <c r="G18" s="62">
        <f>SUM(G16:G17)</f>
        <v>3451</v>
      </c>
      <c r="H18" s="35"/>
      <c r="I18" s="62">
        <f>SUM(I16:I17)</f>
        <v>23751</v>
      </c>
      <c r="J18" s="37"/>
    </row>
    <row r="19" spans="1:10" ht="15.75" thickTop="1" x14ac:dyDescent="0.25">
      <c r="A19" s="33"/>
      <c r="B19" s="34" t="s">
        <v>1686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634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A5C04509-9F86-490C-B29C-429C62058CB1}"/>
  </hyperlinks>
  <pageMargins left="0.2" right="0.1" top="0.25" bottom="0.25" header="0.3" footer="0.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C1758-6C3E-47CF-BF5A-7C7FA2335637}">
  <dimension ref="A1:R239"/>
  <sheetViews>
    <sheetView topLeftCell="A219" workbookViewId="0">
      <selection activeCell="G232" sqref="G23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2241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1526</v>
      </c>
      <c r="C16" s="53" t="s">
        <v>23</v>
      </c>
      <c r="D16" s="79">
        <v>45</v>
      </c>
      <c r="E16" s="56">
        <v>50</v>
      </c>
      <c r="F16" s="56">
        <f>D16*E16</f>
        <v>2250</v>
      </c>
      <c r="G16" s="149">
        <f>F16*0.17</f>
        <v>382.5</v>
      </c>
      <c r="H16" s="85">
        <f>E16*1.17</f>
        <v>58.5</v>
      </c>
      <c r="I16" s="56">
        <f t="shared" ref="I16:I187" si="0">H16*D16</f>
        <v>2632.5</v>
      </c>
      <c r="J16" s="83"/>
      <c r="N16" s="66"/>
    </row>
    <row r="17" spans="1:14" s="21" customFormat="1" ht="25.5" x14ac:dyDescent="0.25">
      <c r="A17" s="53">
        <v>1</v>
      </c>
      <c r="B17" s="78" t="s">
        <v>1514</v>
      </c>
      <c r="C17" s="53" t="s">
        <v>1505</v>
      </c>
      <c r="D17" s="79">
        <v>2</v>
      </c>
      <c r="E17" s="56">
        <v>35</v>
      </c>
      <c r="F17" s="56">
        <f>D17*E17</f>
        <v>70</v>
      </c>
      <c r="G17" s="149">
        <f t="shared" ref="G17:G78" si="1">F17*0.17</f>
        <v>11.9</v>
      </c>
      <c r="H17" s="85">
        <f t="shared" ref="H17:H78" si="2">E17*1.17</f>
        <v>40.949999999999996</v>
      </c>
      <c r="I17" s="56">
        <f t="shared" si="0"/>
        <v>81.899999999999991</v>
      </c>
      <c r="J17" s="83"/>
      <c r="N17" s="66"/>
    </row>
    <row r="18" spans="1:14" s="21" customFormat="1" ht="25.5" x14ac:dyDescent="0.25">
      <c r="A18" s="53">
        <v>2</v>
      </c>
      <c r="B18" s="78" t="s">
        <v>1515</v>
      </c>
      <c r="C18" s="53" t="s">
        <v>1505</v>
      </c>
      <c r="D18" s="79">
        <v>2</v>
      </c>
      <c r="E18" s="56">
        <v>100</v>
      </c>
      <c r="F18" s="56">
        <f t="shared" ref="F18:F30" si="3">D18*E18</f>
        <v>200</v>
      </c>
      <c r="G18" s="149">
        <f t="shared" si="1"/>
        <v>34</v>
      </c>
      <c r="H18" s="85">
        <f t="shared" si="2"/>
        <v>117</v>
      </c>
      <c r="I18" s="56">
        <f t="shared" si="0"/>
        <v>234</v>
      </c>
      <c r="J18" s="83"/>
      <c r="N18" s="66"/>
    </row>
    <row r="19" spans="1:14" s="21" customFormat="1" ht="15.75" x14ac:dyDescent="0.25">
      <c r="A19" s="53">
        <v>3</v>
      </c>
      <c r="B19" s="78" t="s">
        <v>1487</v>
      </c>
      <c r="C19" s="53" t="s">
        <v>1506</v>
      </c>
      <c r="D19" s="79">
        <v>2</v>
      </c>
      <c r="E19" s="56">
        <v>155</v>
      </c>
      <c r="F19" s="56">
        <f t="shared" si="3"/>
        <v>310</v>
      </c>
      <c r="G19" s="149">
        <f t="shared" si="1"/>
        <v>52.7</v>
      </c>
      <c r="H19" s="85">
        <f t="shared" si="2"/>
        <v>181.35</v>
      </c>
      <c r="I19" s="56">
        <f t="shared" si="0"/>
        <v>362.7</v>
      </c>
      <c r="J19" s="83"/>
      <c r="N19" s="66"/>
    </row>
    <row r="20" spans="1:14" s="21" customFormat="1" ht="25.5" x14ac:dyDescent="0.25">
      <c r="A20" s="53">
        <v>4</v>
      </c>
      <c r="B20" s="78" t="s">
        <v>1488</v>
      </c>
      <c r="C20" s="53" t="s">
        <v>1505</v>
      </c>
      <c r="D20" s="79">
        <v>2</v>
      </c>
      <c r="E20" s="56">
        <v>25</v>
      </c>
      <c r="F20" s="56">
        <f>D20*E20</f>
        <v>50</v>
      </c>
      <c r="G20" s="149">
        <f>F20*0</f>
        <v>0</v>
      </c>
      <c r="H20" s="85">
        <f>E20*1</f>
        <v>25</v>
      </c>
      <c r="I20" s="56">
        <f t="shared" si="0"/>
        <v>50</v>
      </c>
      <c r="J20" s="83"/>
      <c r="N20" s="66"/>
    </row>
    <row r="21" spans="1:14" s="21" customFormat="1" ht="25.5" x14ac:dyDescent="0.25">
      <c r="A21" s="53">
        <v>5</v>
      </c>
      <c r="B21" s="78" t="s">
        <v>1521</v>
      </c>
      <c r="C21" s="53" t="s">
        <v>1505</v>
      </c>
      <c r="D21" s="79">
        <v>2</v>
      </c>
      <c r="E21" s="56">
        <v>25</v>
      </c>
      <c r="F21" s="56">
        <f t="shared" si="3"/>
        <v>50</v>
      </c>
      <c r="G21" s="149">
        <f t="shared" ref="G21:G22" si="4">F21*0</f>
        <v>0</v>
      </c>
      <c r="H21" s="85">
        <f t="shared" ref="H21:H22" si="5">E21*1</f>
        <v>25</v>
      </c>
      <c r="I21" s="56">
        <f t="shared" si="0"/>
        <v>50</v>
      </c>
      <c r="J21" s="83"/>
      <c r="N21" s="66"/>
    </row>
    <row r="22" spans="1:14" s="21" customFormat="1" ht="25.5" x14ac:dyDescent="0.25">
      <c r="A22" s="53">
        <v>6</v>
      </c>
      <c r="B22" s="78" t="s">
        <v>1513</v>
      </c>
      <c r="C22" s="53" t="s">
        <v>1505</v>
      </c>
      <c r="D22" s="79">
        <v>1</v>
      </c>
      <c r="E22" s="56">
        <v>75</v>
      </c>
      <c r="F22" s="56">
        <f t="shared" si="3"/>
        <v>75</v>
      </c>
      <c r="G22" s="149">
        <f t="shared" si="4"/>
        <v>0</v>
      </c>
      <c r="H22" s="85">
        <f t="shared" si="5"/>
        <v>75</v>
      </c>
      <c r="I22" s="56">
        <f t="shared" si="0"/>
        <v>75</v>
      </c>
      <c r="J22" s="83"/>
      <c r="N22" s="66"/>
    </row>
    <row r="23" spans="1:14" s="21" customFormat="1" ht="15.75" x14ac:dyDescent="0.25">
      <c r="A23" s="53">
        <v>7</v>
      </c>
      <c r="B23" s="78" t="s">
        <v>1489</v>
      </c>
      <c r="C23" s="53" t="s">
        <v>1506</v>
      </c>
      <c r="D23" s="79">
        <v>4</v>
      </c>
      <c r="E23" s="56">
        <v>12</v>
      </c>
      <c r="F23" s="56">
        <f t="shared" si="3"/>
        <v>48</v>
      </c>
      <c r="G23" s="149">
        <f t="shared" si="1"/>
        <v>8.16</v>
      </c>
      <c r="H23" s="85">
        <f t="shared" si="2"/>
        <v>14.04</v>
      </c>
      <c r="I23" s="56">
        <f t="shared" si="0"/>
        <v>56.16</v>
      </c>
      <c r="J23" s="83"/>
      <c r="N23" s="66"/>
    </row>
    <row r="24" spans="1:14" s="21" customFormat="1" ht="15.75" x14ac:dyDescent="0.25">
      <c r="A24" s="53">
        <v>8</v>
      </c>
      <c r="B24" s="78" t="s">
        <v>1527</v>
      </c>
      <c r="C24" s="53" t="s">
        <v>23</v>
      </c>
      <c r="D24" s="79">
        <v>2</v>
      </c>
      <c r="E24" s="56">
        <v>28</v>
      </c>
      <c r="F24" s="56">
        <f t="shared" si="3"/>
        <v>56</v>
      </c>
      <c r="G24" s="149">
        <f t="shared" si="1"/>
        <v>9.5200000000000014</v>
      </c>
      <c r="H24" s="85">
        <f t="shared" si="2"/>
        <v>32.76</v>
      </c>
      <c r="I24" s="56">
        <f t="shared" si="0"/>
        <v>65.52</v>
      </c>
      <c r="J24" s="83"/>
      <c r="N24" s="66"/>
    </row>
    <row r="25" spans="1:14" s="21" customFormat="1" ht="25.5" x14ac:dyDescent="0.25">
      <c r="A25" s="53">
        <v>9</v>
      </c>
      <c r="B25" s="78" t="s">
        <v>1490</v>
      </c>
      <c r="C25" s="53" t="s">
        <v>1505</v>
      </c>
      <c r="D25" s="79">
        <v>2</v>
      </c>
      <c r="E25" s="56">
        <v>40</v>
      </c>
      <c r="F25" s="56">
        <f t="shared" si="3"/>
        <v>80</v>
      </c>
      <c r="G25" s="149">
        <f t="shared" si="1"/>
        <v>13.600000000000001</v>
      </c>
      <c r="H25" s="85">
        <f t="shared" si="2"/>
        <v>46.8</v>
      </c>
      <c r="I25" s="56">
        <f t="shared" si="0"/>
        <v>93.6</v>
      </c>
      <c r="J25" s="83"/>
      <c r="N25" s="66"/>
    </row>
    <row r="26" spans="1:14" s="21" customFormat="1" ht="15.75" x14ac:dyDescent="0.25">
      <c r="A26" s="53">
        <v>10</v>
      </c>
      <c r="B26" s="78" t="s">
        <v>1528</v>
      </c>
      <c r="C26" s="53" t="s">
        <v>23</v>
      </c>
      <c r="D26" s="79">
        <v>2</v>
      </c>
      <c r="E26" s="56">
        <v>100</v>
      </c>
      <c r="F26" s="56">
        <f t="shared" si="3"/>
        <v>200</v>
      </c>
      <c r="G26" s="149">
        <f t="shared" si="1"/>
        <v>34</v>
      </c>
      <c r="H26" s="85">
        <f t="shared" si="2"/>
        <v>117</v>
      </c>
      <c r="I26" s="56">
        <f t="shared" si="0"/>
        <v>234</v>
      </c>
      <c r="J26" s="83"/>
      <c r="N26" s="66"/>
    </row>
    <row r="27" spans="1:14" s="21" customFormat="1" ht="15.75" x14ac:dyDescent="0.25">
      <c r="A27" s="53">
        <v>11</v>
      </c>
      <c r="B27" s="78" t="s">
        <v>1529</v>
      </c>
      <c r="C27" s="53" t="s">
        <v>23</v>
      </c>
      <c r="D27" s="79">
        <v>2</v>
      </c>
      <c r="E27" s="56">
        <v>28</v>
      </c>
      <c r="F27" s="56">
        <f t="shared" si="3"/>
        <v>56</v>
      </c>
      <c r="G27" s="149">
        <f>F27*0</f>
        <v>0</v>
      </c>
      <c r="H27" s="85">
        <f>E27*1</f>
        <v>28</v>
      </c>
      <c r="I27" s="56">
        <f t="shared" si="0"/>
        <v>56</v>
      </c>
      <c r="J27" s="83"/>
      <c r="N27" s="66"/>
    </row>
    <row r="28" spans="1:14" s="21" customFormat="1" ht="25.5" x14ac:dyDescent="0.25">
      <c r="A28" s="53">
        <v>12</v>
      </c>
      <c r="B28" s="78" t="s">
        <v>1491</v>
      </c>
      <c r="C28" s="53" t="s">
        <v>1506</v>
      </c>
      <c r="D28" s="79">
        <v>2</v>
      </c>
      <c r="E28" s="56">
        <v>105</v>
      </c>
      <c r="F28" s="56">
        <f t="shared" si="3"/>
        <v>210</v>
      </c>
      <c r="G28" s="149">
        <f t="shared" si="1"/>
        <v>35.700000000000003</v>
      </c>
      <c r="H28" s="85">
        <f t="shared" si="2"/>
        <v>122.85</v>
      </c>
      <c r="I28" s="56">
        <f t="shared" si="0"/>
        <v>245.7</v>
      </c>
      <c r="J28" s="83"/>
      <c r="N28" s="66"/>
    </row>
    <row r="29" spans="1:14" s="21" customFormat="1" ht="25.5" x14ac:dyDescent="0.25">
      <c r="A29" s="53">
        <v>13</v>
      </c>
      <c r="B29" s="78" t="s">
        <v>1492</v>
      </c>
      <c r="C29" s="53" t="s">
        <v>1506</v>
      </c>
      <c r="D29" s="79">
        <v>2</v>
      </c>
      <c r="E29" s="56">
        <v>140</v>
      </c>
      <c r="F29" s="56">
        <f t="shared" si="3"/>
        <v>280</v>
      </c>
      <c r="G29" s="149">
        <f t="shared" si="1"/>
        <v>47.6</v>
      </c>
      <c r="H29" s="85">
        <f t="shared" si="2"/>
        <v>163.79999999999998</v>
      </c>
      <c r="I29" s="56">
        <f t="shared" si="0"/>
        <v>327.59999999999997</v>
      </c>
      <c r="J29" s="83"/>
      <c r="N29" s="66"/>
    </row>
    <row r="30" spans="1:14" s="21" customFormat="1" ht="15.75" x14ac:dyDescent="0.25">
      <c r="A30" s="53">
        <v>14</v>
      </c>
      <c r="B30" s="78" t="s">
        <v>1501</v>
      </c>
      <c r="C30" s="53" t="s">
        <v>1506</v>
      </c>
      <c r="D30" s="79">
        <v>2</v>
      </c>
      <c r="E30" s="56">
        <v>28</v>
      </c>
      <c r="F30" s="56">
        <f t="shared" si="3"/>
        <v>56</v>
      </c>
      <c r="G30" s="149">
        <f>F30*0</f>
        <v>0</v>
      </c>
      <c r="H30" s="85">
        <f>E30*1</f>
        <v>28</v>
      </c>
      <c r="I30" s="56">
        <f t="shared" si="0"/>
        <v>56</v>
      </c>
      <c r="J30" s="83"/>
      <c r="N30" s="66"/>
    </row>
    <row r="31" spans="1:14" s="21" customFormat="1" ht="25.5" x14ac:dyDescent="0.25">
      <c r="A31" s="53">
        <v>15</v>
      </c>
      <c r="B31" s="78" t="s">
        <v>1518</v>
      </c>
      <c r="C31" s="53" t="s">
        <v>1505</v>
      </c>
      <c r="D31" s="79">
        <v>2</v>
      </c>
      <c r="E31" s="56">
        <v>25</v>
      </c>
      <c r="F31" s="56">
        <f>D31*E31</f>
        <v>50</v>
      </c>
      <c r="G31" s="149">
        <f t="shared" si="1"/>
        <v>8.5</v>
      </c>
      <c r="H31" s="85">
        <f t="shared" si="2"/>
        <v>29.25</v>
      </c>
      <c r="I31" s="56">
        <f t="shared" si="0"/>
        <v>58.5</v>
      </c>
      <c r="J31" s="83"/>
      <c r="N31" s="66"/>
    </row>
    <row r="32" spans="1:14" s="21" customFormat="1" ht="15.75" x14ac:dyDescent="0.25">
      <c r="A32" s="53">
        <v>16</v>
      </c>
      <c r="B32" s="78" t="s">
        <v>1494</v>
      </c>
      <c r="C32" s="53" t="s">
        <v>1506</v>
      </c>
      <c r="D32" s="79">
        <v>2</v>
      </c>
      <c r="E32" s="56">
        <v>25</v>
      </c>
      <c r="F32" s="56">
        <f t="shared" ref="F32:F95" si="6">D32*E32</f>
        <v>50</v>
      </c>
      <c r="G32" s="149">
        <f t="shared" si="1"/>
        <v>8.5</v>
      </c>
      <c r="H32" s="85">
        <f t="shared" si="2"/>
        <v>29.25</v>
      </c>
      <c r="I32" s="56">
        <f t="shared" si="0"/>
        <v>58.5</v>
      </c>
      <c r="J32" s="83"/>
      <c r="N32" s="66"/>
    </row>
    <row r="33" spans="1:14" s="21" customFormat="1" ht="15.75" x14ac:dyDescent="0.25">
      <c r="A33" s="53">
        <v>17</v>
      </c>
      <c r="B33" s="78" t="s">
        <v>1495</v>
      </c>
      <c r="C33" s="53" t="s">
        <v>1506</v>
      </c>
      <c r="D33" s="79">
        <v>2</v>
      </c>
      <c r="E33" s="56">
        <v>110</v>
      </c>
      <c r="F33" s="56">
        <f t="shared" si="6"/>
        <v>220</v>
      </c>
      <c r="G33" s="149">
        <f t="shared" si="1"/>
        <v>37.400000000000006</v>
      </c>
      <c r="H33" s="85">
        <f t="shared" si="2"/>
        <v>128.69999999999999</v>
      </c>
      <c r="I33" s="56">
        <f t="shared" si="0"/>
        <v>257.39999999999998</v>
      </c>
      <c r="J33" s="83"/>
      <c r="N33" s="66"/>
    </row>
    <row r="34" spans="1:14" s="21" customFormat="1" ht="25.5" x14ac:dyDescent="0.25">
      <c r="A34" s="53">
        <v>18</v>
      </c>
      <c r="B34" s="78" t="s">
        <v>1496</v>
      </c>
      <c r="C34" s="53" t="s">
        <v>1506</v>
      </c>
      <c r="D34" s="79">
        <v>2</v>
      </c>
      <c r="E34" s="56">
        <v>30</v>
      </c>
      <c r="F34" s="56">
        <f t="shared" si="6"/>
        <v>60</v>
      </c>
      <c r="G34" s="149">
        <f t="shared" si="1"/>
        <v>10.200000000000001</v>
      </c>
      <c r="H34" s="85">
        <f t="shared" si="2"/>
        <v>35.099999999999994</v>
      </c>
      <c r="I34" s="56">
        <f t="shared" si="0"/>
        <v>70.199999999999989</v>
      </c>
      <c r="J34" s="83"/>
      <c r="N34" s="66"/>
    </row>
    <row r="35" spans="1:14" s="21" customFormat="1" ht="15.75" x14ac:dyDescent="0.25">
      <c r="A35" s="53">
        <v>19</v>
      </c>
      <c r="B35" s="78" t="s">
        <v>1502</v>
      </c>
      <c r="C35" s="53" t="s">
        <v>1506</v>
      </c>
      <c r="D35" s="79">
        <v>2</v>
      </c>
      <c r="E35" s="56">
        <v>7</v>
      </c>
      <c r="F35" s="56">
        <f t="shared" si="6"/>
        <v>14</v>
      </c>
      <c r="G35" s="149">
        <f>F35*0</f>
        <v>0</v>
      </c>
      <c r="H35" s="85">
        <f>E35*1</f>
        <v>7</v>
      </c>
      <c r="I35" s="56">
        <f t="shared" si="0"/>
        <v>14</v>
      </c>
      <c r="J35" s="83"/>
      <c r="N35" s="66"/>
    </row>
    <row r="36" spans="1:14" s="21" customFormat="1" ht="15.75" x14ac:dyDescent="0.25">
      <c r="A36" s="53">
        <v>20</v>
      </c>
      <c r="B36" s="78" t="s">
        <v>1498</v>
      </c>
      <c r="C36" s="53" t="s">
        <v>1506</v>
      </c>
      <c r="D36" s="79">
        <v>2</v>
      </c>
      <c r="E36" s="56">
        <v>175</v>
      </c>
      <c r="F36" s="56">
        <f t="shared" si="6"/>
        <v>350</v>
      </c>
      <c r="G36" s="149">
        <f t="shared" si="1"/>
        <v>59.500000000000007</v>
      </c>
      <c r="H36" s="85">
        <f t="shared" si="2"/>
        <v>204.75</v>
      </c>
      <c r="I36" s="56">
        <f t="shared" si="0"/>
        <v>409.5</v>
      </c>
      <c r="J36" s="83"/>
      <c r="N36" s="66"/>
    </row>
    <row r="37" spans="1:14" s="21" customFormat="1" ht="15.75" x14ac:dyDescent="0.25">
      <c r="A37" s="53">
        <v>21</v>
      </c>
      <c r="B37" s="78" t="s">
        <v>1544</v>
      </c>
      <c r="C37" s="53" t="s">
        <v>1506</v>
      </c>
      <c r="D37" s="79">
        <v>2</v>
      </c>
      <c r="E37" s="56">
        <v>100</v>
      </c>
      <c r="F37" s="56">
        <f t="shared" si="6"/>
        <v>200</v>
      </c>
      <c r="G37" s="149">
        <f t="shared" si="1"/>
        <v>34</v>
      </c>
      <c r="H37" s="85">
        <f t="shared" si="2"/>
        <v>117</v>
      </c>
      <c r="I37" s="56">
        <f t="shared" si="0"/>
        <v>234</v>
      </c>
      <c r="J37" s="83"/>
      <c r="N37" s="66"/>
    </row>
    <row r="38" spans="1:14" s="21" customFormat="1" ht="15.75" x14ac:dyDescent="0.25">
      <c r="A38" s="53">
        <v>22</v>
      </c>
      <c r="B38" s="78" t="s">
        <v>1949</v>
      </c>
      <c r="C38" s="53" t="s">
        <v>76</v>
      </c>
      <c r="D38" s="79">
        <v>5</v>
      </c>
      <c r="E38" s="56">
        <v>75</v>
      </c>
      <c r="F38" s="56">
        <f t="shared" si="6"/>
        <v>375</v>
      </c>
      <c r="G38" s="149">
        <f t="shared" ref="G38:G40" si="7">F38*0</f>
        <v>0</v>
      </c>
      <c r="H38" s="85">
        <f t="shared" ref="H38:H40" si="8">E38*1</f>
        <v>75</v>
      </c>
      <c r="I38" s="56">
        <f t="shared" si="0"/>
        <v>375</v>
      </c>
      <c r="J38" s="83"/>
      <c r="N38" s="66"/>
    </row>
    <row r="39" spans="1:14" s="21" customFormat="1" ht="15.75" x14ac:dyDescent="0.25">
      <c r="A39" s="53">
        <v>23</v>
      </c>
      <c r="B39" s="78" t="s">
        <v>2242</v>
      </c>
      <c r="C39" s="53" t="s">
        <v>23</v>
      </c>
      <c r="D39" s="79">
        <v>5</v>
      </c>
      <c r="E39" s="56">
        <v>115</v>
      </c>
      <c r="F39" s="56">
        <f t="shared" si="6"/>
        <v>575</v>
      </c>
      <c r="G39" s="149">
        <f t="shared" si="7"/>
        <v>0</v>
      </c>
      <c r="H39" s="85">
        <f t="shared" si="8"/>
        <v>115</v>
      </c>
      <c r="I39" s="56">
        <f t="shared" si="0"/>
        <v>575</v>
      </c>
      <c r="J39" s="83"/>
      <c r="N39" s="66"/>
    </row>
    <row r="40" spans="1:14" s="21" customFormat="1" ht="15.75" x14ac:dyDescent="0.25">
      <c r="A40" s="53">
        <v>24</v>
      </c>
      <c r="B40" s="78" t="s">
        <v>2243</v>
      </c>
      <c r="C40" s="53" t="s">
        <v>23</v>
      </c>
      <c r="D40" s="79">
        <v>3</v>
      </c>
      <c r="E40" s="56">
        <v>65</v>
      </c>
      <c r="F40" s="56">
        <f t="shared" si="6"/>
        <v>195</v>
      </c>
      <c r="G40" s="149">
        <f t="shared" si="7"/>
        <v>0</v>
      </c>
      <c r="H40" s="85">
        <f t="shared" si="8"/>
        <v>65</v>
      </c>
      <c r="I40" s="56">
        <f t="shared" si="0"/>
        <v>195</v>
      </c>
      <c r="J40" s="83"/>
      <c r="N40" s="66"/>
    </row>
    <row r="41" spans="1:14" s="21" customFormat="1" ht="15.75" x14ac:dyDescent="0.25">
      <c r="A41" s="53">
        <v>1</v>
      </c>
      <c r="B41" s="78" t="s">
        <v>1528</v>
      </c>
      <c r="C41" s="53" t="s">
        <v>23</v>
      </c>
      <c r="D41" s="79">
        <v>2</v>
      </c>
      <c r="E41" s="56">
        <v>100</v>
      </c>
      <c r="F41" s="56">
        <f t="shared" si="6"/>
        <v>200</v>
      </c>
      <c r="G41" s="149">
        <f t="shared" si="1"/>
        <v>34</v>
      </c>
      <c r="H41" s="85">
        <f t="shared" si="2"/>
        <v>117</v>
      </c>
      <c r="I41" s="56">
        <f t="shared" si="0"/>
        <v>234</v>
      </c>
      <c r="J41" s="83"/>
      <c r="N41" s="66"/>
    </row>
    <row r="42" spans="1:14" s="21" customFormat="1" ht="15.75" x14ac:dyDescent="0.25">
      <c r="A42" s="53">
        <v>2</v>
      </c>
      <c r="B42" s="78" t="s">
        <v>1529</v>
      </c>
      <c r="C42" s="53" t="s">
        <v>23</v>
      </c>
      <c r="D42" s="79">
        <v>2</v>
      </c>
      <c r="E42" s="56">
        <v>28</v>
      </c>
      <c r="F42" s="56">
        <f t="shared" si="6"/>
        <v>56</v>
      </c>
      <c r="G42" s="149">
        <f t="shared" ref="G42:G43" si="9">F42*0</f>
        <v>0</v>
      </c>
      <c r="H42" s="85">
        <f t="shared" ref="H42:H43" si="10">E42*1</f>
        <v>28</v>
      </c>
      <c r="I42" s="56">
        <f t="shared" si="0"/>
        <v>56</v>
      </c>
      <c r="J42" s="83"/>
      <c r="N42" s="66"/>
    </row>
    <row r="43" spans="1:14" s="21" customFormat="1" ht="15.75" x14ac:dyDescent="0.25">
      <c r="A43" s="53">
        <v>3</v>
      </c>
      <c r="B43" s="78" t="s">
        <v>1949</v>
      </c>
      <c r="C43" s="53" t="s">
        <v>76</v>
      </c>
      <c r="D43" s="79">
        <v>4</v>
      </c>
      <c r="E43" s="56">
        <v>75</v>
      </c>
      <c r="F43" s="56">
        <f t="shared" si="6"/>
        <v>300</v>
      </c>
      <c r="G43" s="149">
        <f t="shared" si="9"/>
        <v>0</v>
      </c>
      <c r="H43" s="85">
        <f t="shared" si="10"/>
        <v>75</v>
      </c>
      <c r="I43" s="56">
        <f t="shared" si="0"/>
        <v>300</v>
      </c>
      <c r="J43" s="83"/>
      <c r="N43" s="66"/>
    </row>
    <row r="44" spans="1:14" s="21" customFormat="1" ht="15.75" x14ac:dyDescent="0.25">
      <c r="A44" s="53">
        <v>1</v>
      </c>
      <c r="B44" s="78" t="s">
        <v>1486</v>
      </c>
      <c r="C44" s="53" t="s">
        <v>1506</v>
      </c>
      <c r="D44" s="79">
        <v>6</v>
      </c>
      <c r="E44" s="56">
        <v>90</v>
      </c>
      <c r="F44" s="56">
        <f t="shared" si="6"/>
        <v>540</v>
      </c>
      <c r="G44" s="149">
        <f t="shared" si="1"/>
        <v>91.800000000000011</v>
      </c>
      <c r="H44" s="85">
        <f t="shared" si="2"/>
        <v>105.3</v>
      </c>
      <c r="I44" s="56">
        <f t="shared" si="0"/>
        <v>631.79999999999995</v>
      </c>
      <c r="J44" s="83"/>
      <c r="N44" s="66"/>
    </row>
    <row r="45" spans="1:14" s="21" customFormat="1" ht="25.5" x14ac:dyDescent="0.25">
      <c r="A45" s="53">
        <v>2</v>
      </c>
      <c r="B45" s="78" t="s">
        <v>1517</v>
      </c>
      <c r="C45" s="53" t="s">
        <v>1506</v>
      </c>
      <c r="D45" s="79">
        <v>1</v>
      </c>
      <c r="E45" s="56">
        <v>250</v>
      </c>
      <c r="F45" s="56">
        <f t="shared" si="6"/>
        <v>250</v>
      </c>
      <c r="G45" s="149">
        <f t="shared" si="1"/>
        <v>42.5</v>
      </c>
      <c r="H45" s="85">
        <f t="shared" si="2"/>
        <v>292.5</v>
      </c>
      <c r="I45" s="56">
        <f t="shared" si="0"/>
        <v>292.5</v>
      </c>
      <c r="J45" s="83"/>
      <c r="N45" s="66"/>
    </row>
    <row r="46" spans="1:14" s="21" customFormat="1" ht="25.5" x14ac:dyDescent="0.25">
      <c r="A46" s="53">
        <v>3</v>
      </c>
      <c r="B46" s="78" t="s">
        <v>1537</v>
      </c>
      <c r="C46" s="53" t="s">
        <v>1505</v>
      </c>
      <c r="D46" s="79">
        <v>6</v>
      </c>
      <c r="E46" s="56">
        <v>25</v>
      </c>
      <c r="F46" s="56">
        <f t="shared" si="6"/>
        <v>150</v>
      </c>
      <c r="G46" s="149">
        <f t="shared" si="1"/>
        <v>25.500000000000004</v>
      </c>
      <c r="H46" s="85">
        <f t="shared" si="2"/>
        <v>29.25</v>
      </c>
      <c r="I46" s="56">
        <f t="shared" si="0"/>
        <v>175.5</v>
      </c>
      <c r="J46" s="83"/>
      <c r="N46" s="66"/>
    </row>
    <row r="47" spans="1:14" s="21" customFormat="1" ht="15.75" x14ac:dyDescent="0.25">
      <c r="A47" s="53">
        <v>4</v>
      </c>
      <c r="B47" s="78" t="s">
        <v>1487</v>
      </c>
      <c r="C47" s="53" t="s">
        <v>1506</v>
      </c>
      <c r="D47" s="79">
        <v>3</v>
      </c>
      <c r="E47" s="56">
        <v>155</v>
      </c>
      <c r="F47" s="56">
        <f t="shared" si="6"/>
        <v>465</v>
      </c>
      <c r="G47" s="149">
        <f t="shared" si="1"/>
        <v>79.050000000000011</v>
      </c>
      <c r="H47" s="85">
        <f t="shared" si="2"/>
        <v>181.35</v>
      </c>
      <c r="I47" s="56">
        <f t="shared" si="0"/>
        <v>544.04999999999995</v>
      </c>
      <c r="J47" s="83"/>
      <c r="N47" s="66"/>
    </row>
    <row r="48" spans="1:14" s="21" customFormat="1" ht="25.5" x14ac:dyDescent="0.25">
      <c r="A48" s="53">
        <v>5</v>
      </c>
      <c r="B48" s="78" t="s">
        <v>1488</v>
      </c>
      <c r="C48" s="53" t="s">
        <v>1505</v>
      </c>
      <c r="D48" s="79">
        <v>2</v>
      </c>
      <c r="E48" s="56">
        <v>25</v>
      </c>
      <c r="F48" s="56">
        <f t="shared" si="6"/>
        <v>50</v>
      </c>
      <c r="G48" s="149">
        <f t="shared" ref="G48:G51" si="11">F48*0</f>
        <v>0</v>
      </c>
      <c r="H48" s="85">
        <f t="shared" ref="H48:H51" si="12">E48*1</f>
        <v>25</v>
      </c>
      <c r="I48" s="56">
        <f t="shared" si="0"/>
        <v>50</v>
      </c>
      <c r="J48" s="83"/>
      <c r="N48" s="66"/>
    </row>
    <row r="49" spans="1:14" s="21" customFormat="1" ht="25.5" x14ac:dyDescent="0.25">
      <c r="A49" s="53">
        <v>6</v>
      </c>
      <c r="B49" s="78" t="s">
        <v>1520</v>
      </c>
      <c r="C49" s="53" t="s">
        <v>1505</v>
      </c>
      <c r="D49" s="79">
        <v>2</v>
      </c>
      <c r="E49" s="56">
        <v>25</v>
      </c>
      <c r="F49" s="56">
        <f t="shared" si="6"/>
        <v>50</v>
      </c>
      <c r="G49" s="149">
        <f t="shared" si="11"/>
        <v>0</v>
      </c>
      <c r="H49" s="85">
        <f t="shared" si="12"/>
        <v>25</v>
      </c>
      <c r="I49" s="56">
        <f t="shared" si="0"/>
        <v>50</v>
      </c>
      <c r="J49" s="83"/>
      <c r="N49" s="66"/>
    </row>
    <row r="50" spans="1:14" s="21" customFormat="1" ht="25.5" x14ac:dyDescent="0.25">
      <c r="A50" s="53">
        <v>7</v>
      </c>
      <c r="B50" s="78" t="s">
        <v>1521</v>
      </c>
      <c r="C50" s="53" t="s">
        <v>1505</v>
      </c>
      <c r="D50" s="79">
        <v>2</v>
      </c>
      <c r="E50" s="56">
        <v>25</v>
      </c>
      <c r="F50" s="56">
        <f t="shared" si="6"/>
        <v>50</v>
      </c>
      <c r="G50" s="149">
        <f t="shared" si="11"/>
        <v>0</v>
      </c>
      <c r="H50" s="85">
        <f t="shared" si="12"/>
        <v>25</v>
      </c>
      <c r="I50" s="56">
        <f t="shared" si="0"/>
        <v>50</v>
      </c>
      <c r="J50" s="83"/>
      <c r="N50" s="66"/>
    </row>
    <row r="51" spans="1:14" s="21" customFormat="1" ht="25.5" x14ac:dyDescent="0.25">
      <c r="A51" s="53">
        <v>8</v>
      </c>
      <c r="B51" s="78" t="s">
        <v>1513</v>
      </c>
      <c r="C51" s="53" t="s">
        <v>1505</v>
      </c>
      <c r="D51" s="79">
        <v>1</v>
      </c>
      <c r="E51" s="56">
        <v>75</v>
      </c>
      <c r="F51" s="56">
        <f t="shared" si="6"/>
        <v>75</v>
      </c>
      <c r="G51" s="149">
        <f t="shared" si="11"/>
        <v>0</v>
      </c>
      <c r="H51" s="85">
        <f t="shared" si="12"/>
        <v>75</v>
      </c>
      <c r="I51" s="56">
        <f t="shared" si="0"/>
        <v>75</v>
      </c>
      <c r="J51" s="83"/>
      <c r="N51" s="66"/>
    </row>
    <row r="52" spans="1:14" s="21" customFormat="1" ht="15.75" x14ac:dyDescent="0.25">
      <c r="A52" s="53">
        <v>9</v>
      </c>
      <c r="B52" s="78" t="s">
        <v>1489</v>
      </c>
      <c r="C52" s="53" t="s">
        <v>1506</v>
      </c>
      <c r="D52" s="79">
        <v>1</v>
      </c>
      <c r="E52" s="56">
        <v>12</v>
      </c>
      <c r="F52" s="56">
        <f t="shared" si="6"/>
        <v>12</v>
      </c>
      <c r="G52" s="149">
        <f t="shared" si="1"/>
        <v>2.04</v>
      </c>
      <c r="H52" s="85">
        <f t="shared" si="2"/>
        <v>14.04</v>
      </c>
      <c r="I52" s="56">
        <f t="shared" si="0"/>
        <v>14.04</v>
      </c>
      <c r="J52" s="83"/>
      <c r="N52" s="66"/>
    </row>
    <row r="53" spans="1:14" s="21" customFormat="1" ht="15.75" x14ac:dyDescent="0.25">
      <c r="A53" s="53">
        <v>10</v>
      </c>
      <c r="B53" s="78" t="s">
        <v>1527</v>
      </c>
      <c r="C53" s="53" t="s">
        <v>23</v>
      </c>
      <c r="D53" s="79">
        <v>6</v>
      </c>
      <c r="E53" s="56">
        <v>28</v>
      </c>
      <c r="F53" s="56">
        <f t="shared" si="6"/>
        <v>168</v>
      </c>
      <c r="G53" s="149">
        <f t="shared" si="1"/>
        <v>28.560000000000002</v>
      </c>
      <c r="H53" s="85">
        <f t="shared" si="2"/>
        <v>32.76</v>
      </c>
      <c r="I53" s="56">
        <f t="shared" si="0"/>
        <v>196.56</v>
      </c>
      <c r="J53" s="83"/>
      <c r="N53" s="66"/>
    </row>
    <row r="54" spans="1:14" s="21" customFormat="1" ht="25.5" x14ac:dyDescent="0.25">
      <c r="A54" s="53">
        <v>11</v>
      </c>
      <c r="B54" s="78" t="s">
        <v>1490</v>
      </c>
      <c r="C54" s="53" t="s">
        <v>1505</v>
      </c>
      <c r="D54" s="79">
        <v>6</v>
      </c>
      <c r="E54" s="56">
        <v>40</v>
      </c>
      <c r="F54" s="56">
        <f t="shared" si="6"/>
        <v>240</v>
      </c>
      <c r="G54" s="149">
        <f t="shared" si="1"/>
        <v>40.800000000000004</v>
      </c>
      <c r="H54" s="85">
        <f t="shared" si="2"/>
        <v>46.8</v>
      </c>
      <c r="I54" s="56">
        <f t="shared" si="0"/>
        <v>280.79999999999995</v>
      </c>
      <c r="J54" s="83"/>
      <c r="N54" s="66"/>
    </row>
    <row r="55" spans="1:14" s="21" customFormat="1" ht="15.75" x14ac:dyDescent="0.25">
      <c r="A55" s="53">
        <v>12</v>
      </c>
      <c r="B55" s="78" t="s">
        <v>1529</v>
      </c>
      <c r="C55" s="53" t="s">
        <v>23</v>
      </c>
      <c r="D55" s="79">
        <v>6</v>
      </c>
      <c r="E55" s="56">
        <v>28</v>
      </c>
      <c r="F55" s="56">
        <f t="shared" si="6"/>
        <v>168</v>
      </c>
      <c r="G55" s="149">
        <f>F55*0</f>
        <v>0</v>
      </c>
      <c r="H55" s="85">
        <f>E55*1</f>
        <v>28</v>
      </c>
      <c r="I55" s="56">
        <f t="shared" si="0"/>
        <v>168</v>
      </c>
      <c r="J55" s="83"/>
      <c r="N55" s="66"/>
    </row>
    <row r="56" spans="1:14" s="21" customFormat="1" ht="25.5" x14ac:dyDescent="0.25">
      <c r="A56" s="53">
        <v>13</v>
      </c>
      <c r="B56" s="78" t="s">
        <v>1492</v>
      </c>
      <c r="C56" s="53" t="s">
        <v>1506</v>
      </c>
      <c r="D56" s="79">
        <v>2</v>
      </c>
      <c r="E56" s="56">
        <v>140</v>
      </c>
      <c r="F56" s="56">
        <f t="shared" si="6"/>
        <v>280</v>
      </c>
      <c r="G56" s="149">
        <f t="shared" si="1"/>
        <v>47.6</v>
      </c>
      <c r="H56" s="85">
        <f t="shared" si="2"/>
        <v>163.79999999999998</v>
      </c>
      <c r="I56" s="56">
        <f t="shared" si="0"/>
        <v>327.59999999999997</v>
      </c>
      <c r="J56" s="83"/>
      <c r="N56" s="66"/>
    </row>
    <row r="57" spans="1:14" s="21" customFormat="1" ht="15.75" x14ac:dyDescent="0.25">
      <c r="A57" s="53">
        <v>14</v>
      </c>
      <c r="B57" s="78" t="s">
        <v>1501</v>
      </c>
      <c r="C57" s="53" t="s">
        <v>1506</v>
      </c>
      <c r="D57" s="79">
        <v>2</v>
      </c>
      <c r="E57" s="56">
        <v>28</v>
      </c>
      <c r="F57" s="56">
        <f t="shared" si="6"/>
        <v>56</v>
      </c>
      <c r="G57" s="149">
        <f>F57*0</f>
        <v>0</v>
      </c>
      <c r="H57" s="85">
        <f>E57*1</f>
        <v>28</v>
      </c>
      <c r="I57" s="56">
        <f t="shared" si="0"/>
        <v>56</v>
      </c>
      <c r="J57" s="83"/>
      <c r="N57" s="66"/>
    </row>
    <row r="58" spans="1:14" s="21" customFormat="1" ht="25.5" x14ac:dyDescent="0.25">
      <c r="A58" s="53">
        <v>15</v>
      </c>
      <c r="B58" s="78" t="s">
        <v>1518</v>
      </c>
      <c r="C58" s="53" t="s">
        <v>1505</v>
      </c>
      <c r="D58" s="79">
        <v>3</v>
      </c>
      <c r="E58" s="56">
        <v>25</v>
      </c>
      <c r="F58" s="56">
        <f t="shared" si="6"/>
        <v>75</v>
      </c>
      <c r="G58" s="149">
        <f t="shared" si="1"/>
        <v>12.750000000000002</v>
      </c>
      <c r="H58" s="85">
        <f t="shared" si="2"/>
        <v>29.25</v>
      </c>
      <c r="I58" s="56">
        <f t="shared" si="0"/>
        <v>87.75</v>
      </c>
      <c r="J58" s="83"/>
      <c r="N58" s="66"/>
    </row>
    <row r="59" spans="1:14" s="21" customFormat="1" ht="15.75" x14ac:dyDescent="0.25">
      <c r="A59" s="53">
        <v>16</v>
      </c>
      <c r="B59" s="78" t="s">
        <v>1502</v>
      </c>
      <c r="C59" s="53" t="s">
        <v>1506</v>
      </c>
      <c r="D59" s="79">
        <v>2</v>
      </c>
      <c r="E59" s="56">
        <v>7</v>
      </c>
      <c r="F59" s="56">
        <f t="shared" si="6"/>
        <v>14</v>
      </c>
      <c r="G59" s="149">
        <f>F59*0</f>
        <v>0</v>
      </c>
      <c r="H59" s="85">
        <f>E59*1</f>
        <v>7</v>
      </c>
      <c r="I59" s="56">
        <f t="shared" si="0"/>
        <v>14</v>
      </c>
      <c r="J59" s="83"/>
      <c r="N59" s="66"/>
    </row>
    <row r="60" spans="1:14" s="21" customFormat="1" ht="15.75" x14ac:dyDescent="0.25">
      <c r="A60" s="53">
        <v>17</v>
      </c>
      <c r="B60" s="78" t="s">
        <v>1948</v>
      </c>
      <c r="C60" s="53" t="s">
        <v>1506</v>
      </c>
      <c r="D60" s="79">
        <v>1</v>
      </c>
      <c r="E60" s="56">
        <v>38</v>
      </c>
      <c r="F60" s="56">
        <f t="shared" si="6"/>
        <v>38</v>
      </c>
      <c r="G60" s="149">
        <f t="shared" si="1"/>
        <v>6.4600000000000009</v>
      </c>
      <c r="H60" s="85">
        <f t="shared" si="2"/>
        <v>44.459999999999994</v>
      </c>
      <c r="I60" s="56">
        <f t="shared" si="0"/>
        <v>44.459999999999994</v>
      </c>
      <c r="J60" s="83"/>
      <c r="N60" s="66"/>
    </row>
    <row r="61" spans="1:14" s="21" customFormat="1" ht="15.75" x14ac:dyDescent="0.25">
      <c r="A61" s="53">
        <v>18</v>
      </c>
      <c r="B61" s="78" t="s">
        <v>1536</v>
      </c>
      <c r="C61" s="53" t="s">
        <v>1506</v>
      </c>
      <c r="D61" s="79">
        <v>6</v>
      </c>
      <c r="E61" s="56">
        <v>25</v>
      </c>
      <c r="F61" s="56">
        <f t="shared" si="6"/>
        <v>150</v>
      </c>
      <c r="G61" s="149">
        <f t="shared" si="1"/>
        <v>25.500000000000004</v>
      </c>
      <c r="H61" s="85">
        <f t="shared" si="2"/>
        <v>29.25</v>
      </c>
      <c r="I61" s="56">
        <f t="shared" si="0"/>
        <v>175.5</v>
      </c>
      <c r="J61" s="83"/>
      <c r="N61" s="66"/>
    </row>
    <row r="62" spans="1:14" s="21" customFormat="1" ht="15.75" x14ac:dyDescent="0.25">
      <c r="A62" s="53">
        <v>19</v>
      </c>
      <c r="B62" s="78" t="s">
        <v>2244</v>
      </c>
      <c r="C62" s="53" t="s">
        <v>1506</v>
      </c>
      <c r="D62" s="79">
        <v>3</v>
      </c>
      <c r="E62" s="56">
        <v>18</v>
      </c>
      <c r="F62" s="56">
        <f t="shared" si="6"/>
        <v>54</v>
      </c>
      <c r="G62" s="149">
        <f t="shared" si="1"/>
        <v>9.1800000000000015</v>
      </c>
      <c r="H62" s="85">
        <f t="shared" si="2"/>
        <v>21.06</v>
      </c>
      <c r="I62" s="56">
        <f t="shared" si="0"/>
        <v>63.179999999999993</v>
      </c>
      <c r="J62" s="83"/>
      <c r="N62" s="66"/>
    </row>
    <row r="63" spans="1:14" s="21" customFormat="1" ht="15.75" x14ac:dyDescent="0.25">
      <c r="A63" s="53">
        <v>20</v>
      </c>
      <c r="B63" s="78" t="s">
        <v>1497</v>
      </c>
      <c r="C63" s="53" t="s">
        <v>1506</v>
      </c>
      <c r="D63" s="79">
        <v>2</v>
      </c>
      <c r="E63" s="56">
        <v>28</v>
      </c>
      <c r="F63" s="56">
        <f t="shared" si="6"/>
        <v>56</v>
      </c>
      <c r="G63" s="149">
        <f t="shared" si="1"/>
        <v>9.5200000000000014</v>
      </c>
      <c r="H63" s="85">
        <f t="shared" si="2"/>
        <v>32.76</v>
      </c>
      <c r="I63" s="56">
        <f t="shared" si="0"/>
        <v>65.52</v>
      </c>
      <c r="J63" s="83"/>
      <c r="N63" s="66"/>
    </row>
    <row r="64" spans="1:14" s="21" customFormat="1" ht="15.75" x14ac:dyDescent="0.25">
      <c r="A64" s="53">
        <v>21</v>
      </c>
      <c r="B64" s="78" t="s">
        <v>1530</v>
      </c>
      <c r="C64" s="53" t="s">
        <v>1506</v>
      </c>
      <c r="D64" s="79">
        <v>1</v>
      </c>
      <c r="E64" s="56">
        <v>135</v>
      </c>
      <c r="F64" s="56">
        <f t="shared" si="6"/>
        <v>135</v>
      </c>
      <c r="G64" s="149">
        <f t="shared" si="1"/>
        <v>22.950000000000003</v>
      </c>
      <c r="H64" s="85">
        <f t="shared" si="2"/>
        <v>157.94999999999999</v>
      </c>
      <c r="I64" s="56">
        <f t="shared" si="0"/>
        <v>157.94999999999999</v>
      </c>
      <c r="J64" s="83"/>
      <c r="N64" s="66"/>
    </row>
    <row r="65" spans="1:14" s="21" customFormat="1" ht="15.75" x14ac:dyDescent="0.25">
      <c r="A65" s="53">
        <v>22</v>
      </c>
      <c r="B65" s="78" t="s">
        <v>1504</v>
      </c>
      <c r="C65" s="53" t="s">
        <v>1506</v>
      </c>
      <c r="D65" s="79">
        <v>12</v>
      </c>
      <c r="E65" s="56">
        <v>20</v>
      </c>
      <c r="F65" s="56">
        <f t="shared" si="6"/>
        <v>240</v>
      </c>
      <c r="G65" s="149">
        <f t="shared" si="1"/>
        <v>40.800000000000004</v>
      </c>
      <c r="H65" s="85">
        <f t="shared" si="2"/>
        <v>23.4</v>
      </c>
      <c r="I65" s="56">
        <f t="shared" si="0"/>
        <v>280.79999999999995</v>
      </c>
      <c r="J65" s="83"/>
      <c r="N65" s="66"/>
    </row>
    <row r="66" spans="1:14" s="21" customFormat="1" ht="25.5" x14ac:dyDescent="0.25">
      <c r="A66" s="53">
        <v>1</v>
      </c>
      <c r="B66" s="78" t="s">
        <v>1517</v>
      </c>
      <c r="C66" s="53" t="s">
        <v>1506</v>
      </c>
      <c r="D66" s="79">
        <v>1</v>
      </c>
      <c r="E66" s="56">
        <v>250</v>
      </c>
      <c r="F66" s="56">
        <f t="shared" si="6"/>
        <v>250</v>
      </c>
      <c r="G66" s="149">
        <f t="shared" si="1"/>
        <v>42.5</v>
      </c>
      <c r="H66" s="85">
        <f t="shared" si="2"/>
        <v>292.5</v>
      </c>
      <c r="I66" s="56">
        <f t="shared" si="0"/>
        <v>292.5</v>
      </c>
      <c r="J66" s="83"/>
      <c r="N66" s="66"/>
    </row>
    <row r="67" spans="1:14" s="21" customFormat="1" ht="25.5" x14ac:dyDescent="0.25">
      <c r="A67" s="53">
        <v>2</v>
      </c>
      <c r="B67" s="78" t="s">
        <v>1513</v>
      </c>
      <c r="C67" s="53" t="s">
        <v>1505</v>
      </c>
      <c r="D67" s="79">
        <v>2</v>
      </c>
      <c r="E67" s="56">
        <v>75</v>
      </c>
      <c r="F67" s="56">
        <f t="shared" si="6"/>
        <v>150</v>
      </c>
      <c r="G67" s="149">
        <f>F67*0</f>
        <v>0</v>
      </c>
      <c r="H67" s="85">
        <f>E67*1</f>
        <v>75</v>
      </c>
      <c r="I67" s="56">
        <f t="shared" si="0"/>
        <v>150</v>
      </c>
      <c r="J67" s="83"/>
      <c r="N67" s="66"/>
    </row>
    <row r="68" spans="1:14" s="21" customFormat="1" ht="15.75" x14ac:dyDescent="0.25">
      <c r="A68" s="53">
        <v>3</v>
      </c>
      <c r="B68" s="78" t="s">
        <v>1493</v>
      </c>
      <c r="C68" s="53" t="s">
        <v>1506</v>
      </c>
      <c r="D68" s="79">
        <v>1</v>
      </c>
      <c r="E68" s="56">
        <v>180</v>
      </c>
      <c r="F68" s="56">
        <f t="shared" si="6"/>
        <v>180</v>
      </c>
      <c r="G68" s="149">
        <f t="shared" si="1"/>
        <v>30.6</v>
      </c>
      <c r="H68" s="85">
        <f t="shared" si="2"/>
        <v>210.6</v>
      </c>
      <c r="I68" s="56">
        <f t="shared" si="0"/>
        <v>210.6</v>
      </c>
      <c r="J68" s="83"/>
      <c r="N68" s="66"/>
    </row>
    <row r="69" spans="1:14" s="21" customFormat="1" ht="25.5" x14ac:dyDescent="0.25">
      <c r="A69" s="53">
        <v>4</v>
      </c>
      <c r="B69" s="78" t="s">
        <v>1496</v>
      </c>
      <c r="C69" s="53" t="s">
        <v>1506</v>
      </c>
      <c r="D69" s="79">
        <v>1</v>
      </c>
      <c r="E69" s="56">
        <v>30</v>
      </c>
      <c r="F69" s="56">
        <f t="shared" si="6"/>
        <v>30</v>
      </c>
      <c r="G69" s="149">
        <f t="shared" si="1"/>
        <v>5.1000000000000005</v>
      </c>
      <c r="H69" s="85">
        <f t="shared" si="2"/>
        <v>35.099999999999994</v>
      </c>
      <c r="I69" s="56">
        <f t="shared" si="0"/>
        <v>35.099999999999994</v>
      </c>
      <c r="J69" s="83"/>
      <c r="N69" s="66"/>
    </row>
    <row r="70" spans="1:14" s="21" customFormat="1" ht="15.75" x14ac:dyDescent="0.25">
      <c r="A70" s="53">
        <v>5</v>
      </c>
      <c r="B70" s="78" t="s">
        <v>1949</v>
      </c>
      <c r="C70" s="53" t="s">
        <v>76</v>
      </c>
      <c r="D70" s="79">
        <v>5</v>
      </c>
      <c r="E70" s="56">
        <v>75</v>
      </c>
      <c r="F70" s="56">
        <f t="shared" si="6"/>
        <v>375</v>
      </c>
      <c r="G70" s="149">
        <f t="shared" ref="G70:G71" si="13">F70*0</f>
        <v>0</v>
      </c>
      <c r="H70" s="85">
        <f t="shared" ref="H70:H71" si="14">E70*1</f>
        <v>75</v>
      </c>
      <c r="I70" s="56">
        <f t="shared" si="0"/>
        <v>375</v>
      </c>
      <c r="J70" s="83"/>
      <c r="N70" s="66"/>
    </row>
    <row r="71" spans="1:14" s="21" customFormat="1" ht="15.75" x14ac:dyDescent="0.25">
      <c r="A71" s="53">
        <v>6</v>
      </c>
      <c r="B71" s="78" t="s">
        <v>2242</v>
      </c>
      <c r="C71" s="53" t="s">
        <v>23</v>
      </c>
      <c r="D71" s="79">
        <v>2</v>
      </c>
      <c r="E71" s="56">
        <v>115</v>
      </c>
      <c r="F71" s="56">
        <f t="shared" si="6"/>
        <v>230</v>
      </c>
      <c r="G71" s="149">
        <f t="shared" si="13"/>
        <v>0</v>
      </c>
      <c r="H71" s="85">
        <f t="shared" si="14"/>
        <v>115</v>
      </c>
      <c r="I71" s="56">
        <f t="shared" si="0"/>
        <v>230</v>
      </c>
      <c r="J71" s="83"/>
      <c r="N71" s="66"/>
    </row>
    <row r="72" spans="1:14" s="21" customFormat="1" ht="15.75" x14ac:dyDescent="0.25">
      <c r="A72" s="53">
        <v>7</v>
      </c>
      <c r="B72" s="78" t="s">
        <v>966</v>
      </c>
      <c r="C72" s="53" t="s">
        <v>23</v>
      </c>
      <c r="D72" s="79">
        <v>10</v>
      </c>
      <c r="E72" s="56">
        <v>18</v>
      </c>
      <c r="F72" s="56">
        <f t="shared" si="6"/>
        <v>180</v>
      </c>
      <c r="G72" s="149">
        <f t="shared" si="1"/>
        <v>30.6</v>
      </c>
      <c r="H72" s="85">
        <f t="shared" si="2"/>
        <v>21.06</v>
      </c>
      <c r="I72" s="56">
        <f t="shared" si="0"/>
        <v>210.6</v>
      </c>
      <c r="J72" s="83"/>
      <c r="N72" s="66"/>
    </row>
    <row r="73" spans="1:14" s="21" customFormat="1" ht="15.75" x14ac:dyDescent="0.25">
      <c r="A73" s="53">
        <v>8</v>
      </c>
      <c r="B73" s="78" t="s">
        <v>2245</v>
      </c>
      <c r="C73" s="53" t="s">
        <v>23</v>
      </c>
      <c r="D73" s="79">
        <v>5</v>
      </c>
      <c r="E73" s="56">
        <v>25</v>
      </c>
      <c r="F73" s="56">
        <f t="shared" si="6"/>
        <v>125</v>
      </c>
      <c r="G73" s="149">
        <f t="shared" si="1"/>
        <v>21.25</v>
      </c>
      <c r="H73" s="85">
        <f t="shared" si="2"/>
        <v>29.25</v>
      </c>
      <c r="I73" s="56">
        <f t="shared" si="0"/>
        <v>146.25</v>
      </c>
      <c r="J73" s="83"/>
      <c r="N73" s="66"/>
    </row>
    <row r="74" spans="1:14" s="21" customFormat="1" ht="15.75" x14ac:dyDescent="0.25">
      <c r="A74" s="53">
        <v>9</v>
      </c>
      <c r="B74" s="78" t="s">
        <v>1950</v>
      </c>
      <c r="C74" s="53" t="s">
        <v>23</v>
      </c>
      <c r="D74" s="79">
        <v>5</v>
      </c>
      <c r="E74" s="56">
        <v>110</v>
      </c>
      <c r="F74" s="56">
        <f t="shared" si="6"/>
        <v>550</v>
      </c>
      <c r="G74" s="149">
        <f t="shared" si="1"/>
        <v>93.5</v>
      </c>
      <c r="H74" s="85">
        <f t="shared" si="2"/>
        <v>128.69999999999999</v>
      </c>
      <c r="I74" s="56">
        <f t="shared" si="0"/>
        <v>643.5</v>
      </c>
      <c r="J74" s="83"/>
      <c r="N74" s="66"/>
    </row>
    <row r="75" spans="1:14" s="21" customFormat="1" ht="15.75" x14ac:dyDescent="0.25">
      <c r="A75" s="53">
        <v>10</v>
      </c>
      <c r="B75" s="78" t="s">
        <v>2246</v>
      </c>
      <c r="C75" s="53" t="s">
        <v>23</v>
      </c>
      <c r="D75" s="79">
        <v>5</v>
      </c>
      <c r="E75" s="56">
        <v>160</v>
      </c>
      <c r="F75" s="56">
        <f t="shared" si="6"/>
        <v>800</v>
      </c>
      <c r="G75" s="149">
        <f t="shared" si="1"/>
        <v>136</v>
      </c>
      <c r="H75" s="85">
        <f t="shared" si="2"/>
        <v>187.2</v>
      </c>
      <c r="I75" s="56">
        <f t="shared" si="0"/>
        <v>936</v>
      </c>
      <c r="J75" s="83"/>
      <c r="N75" s="66"/>
    </row>
    <row r="76" spans="1:14" s="21" customFormat="1" ht="25.5" x14ac:dyDescent="0.25">
      <c r="A76" s="53">
        <v>11</v>
      </c>
      <c r="B76" s="78" t="s">
        <v>2247</v>
      </c>
      <c r="C76" s="53" t="s">
        <v>23</v>
      </c>
      <c r="D76" s="79">
        <v>2</v>
      </c>
      <c r="E76" s="56">
        <v>380</v>
      </c>
      <c r="F76" s="56">
        <f t="shared" si="6"/>
        <v>760</v>
      </c>
      <c r="G76" s="149">
        <f t="shared" si="1"/>
        <v>129.20000000000002</v>
      </c>
      <c r="H76" s="85">
        <f t="shared" si="2"/>
        <v>444.59999999999997</v>
      </c>
      <c r="I76" s="56">
        <f t="shared" si="0"/>
        <v>889.19999999999993</v>
      </c>
      <c r="J76" s="83"/>
      <c r="N76" s="66"/>
    </row>
    <row r="77" spans="1:14" s="21" customFormat="1" ht="15.75" x14ac:dyDescent="0.25">
      <c r="A77" s="53">
        <v>1</v>
      </c>
      <c r="B77" s="78" t="s">
        <v>1519</v>
      </c>
      <c r="C77" s="53" t="s">
        <v>1506</v>
      </c>
      <c r="D77" s="79">
        <v>2</v>
      </c>
      <c r="E77" s="56">
        <v>32</v>
      </c>
      <c r="F77" s="56">
        <f t="shared" si="6"/>
        <v>64</v>
      </c>
      <c r="G77" s="149">
        <f>F77*0</f>
        <v>0</v>
      </c>
      <c r="H77" s="85">
        <f>E77*1</f>
        <v>32</v>
      </c>
      <c r="I77" s="56">
        <f t="shared" si="0"/>
        <v>64</v>
      </c>
      <c r="J77" s="83"/>
      <c r="N77" s="66"/>
    </row>
    <row r="78" spans="1:14" s="21" customFormat="1" ht="15.75" x14ac:dyDescent="0.25">
      <c r="A78" s="53">
        <v>2</v>
      </c>
      <c r="B78" s="78" t="s">
        <v>1487</v>
      </c>
      <c r="C78" s="53" t="s">
        <v>1506</v>
      </c>
      <c r="D78" s="79">
        <v>1</v>
      </c>
      <c r="E78" s="56">
        <v>155</v>
      </c>
      <c r="F78" s="56">
        <f t="shared" si="6"/>
        <v>155</v>
      </c>
      <c r="G78" s="149">
        <f t="shared" si="1"/>
        <v>26.35</v>
      </c>
      <c r="H78" s="85">
        <f t="shared" si="2"/>
        <v>181.35</v>
      </c>
      <c r="I78" s="56">
        <f t="shared" si="0"/>
        <v>181.35</v>
      </c>
      <c r="J78" s="83"/>
      <c r="N78" s="66"/>
    </row>
    <row r="79" spans="1:14" s="21" customFormat="1" ht="25.5" x14ac:dyDescent="0.25">
      <c r="A79" s="53">
        <v>3</v>
      </c>
      <c r="B79" s="78" t="s">
        <v>1513</v>
      </c>
      <c r="C79" s="53" t="s">
        <v>1505</v>
      </c>
      <c r="D79" s="79">
        <v>1</v>
      </c>
      <c r="E79" s="56">
        <v>75</v>
      </c>
      <c r="F79" s="56">
        <f t="shared" si="6"/>
        <v>75</v>
      </c>
      <c r="G79" s="149">
        <f t="shared" ref="G79:G83" si="15">F79*0</f>
        <v>0</v>
      </c>
      <c r="H79" s="85">
        <f t="shared" ref="H79:H83" si="16">E79*1</f>
        <v>75</v>
      </c>
      <c r="I79" s="56">
        <f t="shared" si="0"/>
        <v>75</v>
      </c>
      <c r="J79" s="83"/>
      <c r="N79" s="66"/>
    </row>
    <row r="80" spans="1:14" s="21" customFormat="1" ht="15.75" x14ac:dyDescent="0.25">
      <c r="A80" s="53">
        <v>4</v>
      </c>
      <c r="B80" s="78" t="s">
        <v>1529</v>
      </c>
      <c r="C80" s="53" t="s">
        <v>23</v>
      </c>
      <c r="D80" s="79">
        <v>2</v>
      </c>
      <c r="E80" s="56">
        <v>28</v>
      </c>
      <c r="F80" s="56">
        <f t="shared" si="6"/>
        <v>56</v>
      </c>
      <c r="G80" s="149">
        <f t="shared" si="15"/>
        <v>0</v>
      </c>
      <c r="H80" s="85">
        <f t="shared" si="16"/>
        <v>28</v>
      </c>
      <c r="I80" s="56">
        <f t="shared" si="0"/>
        <v>56</v>
      </c>
      <c r="J80" s="83"/>
      <c r="N80" s="66"/>
    </row>
    <row r="81" spans="1:14" s="21" customFormat="1" ht="15.75" x14ac:dyDescent="0.25">
      <c r="A81" s="53">
        <v>5</v>
      </c>
      <c r="B81" s="78" t="s">
        <v>1501</v>
      </c>
      <c r="C81" s="53" t="s">
        <v>1506</v>
      </c>
      <c r="D81" s="79">
        <v>2</v>
      </c>
      <c r="E81" s="56">
        <v>28</v>
      </c>
      <c r="F81" s="56">
        <f t="shared" si="6"/>
        <v>56</v>
      </c>
      <c r="G81" s="149">
        <f t="shared" si="15"/>
        <v>0</v>
      </c>
      <c r="H81" s="85">
        <f t="shared" si="16"/>
        <v>28</v>
      </c>
      <c r="I81" s="56">
        <f t="shared" si="0"/>
        <v>56</v>
      </c>
      <c r="J81" s="83"/>
      <c r="N81" s="66"/>
    </row>
    <row r="82" spans="1:14" s="21" customFormat="1" ht="15.75" x14ac:dyDescent="0.25">
      <c r="A82" s="53">
        <v>6</v>
      </c>
      <c r="B82" s="78" t="s">
        <v>1502</v>
      </c>
      <c r="C82" s="53" t="s">
        <v>1506</v>
      </c>
      <c r="D82" s="79">
        <v>1</v>
      </c>
      <c r="E82" s="56">
        <v>7</v>
      </c>
      <c r="F82" s="56">
        <f t="shared" si="6"/>
        <v>7</v>
      </c>
      <c r="G82" s="149">
        <f t="shared" si="15"/>
        <v>0</v>
      </c>
      <c r="H82" s="85">
        <f t="shared" si="16"/>
        <v>7</v>
      </c>
      <c r="I82" s="56">
        <f t="shared" si="0"/>
        <v>7</v>
      </c>
      <c r="J82" s="83"/>
      <c r="N82" s="66"/>
    </row>
    <row r="83" spans="1:14" s="21" customFormat="1" ht="15.75" x14ac:dyDescent="0.25">
      <c r="A83" s="53">
        <v>7</v>
      </c>
      <c r="B83" s="78" t="s">
        <v>1949</v>
      </c>
      <c r="C83" s="53" t="s">
        <v>76</v>
      </c>
      <c r="D83" s="79">
        <v>5</v>
      </c>
      <c r="E83" s="56">
        <v>75</v>
      </c>
      <c r="F83" s="56">
        <f t="shared" si="6"/>
        <v>375</v>
      </c>
      <c r="G83" s="149">
        <f t="shared" si="15"/>
        <v>0</v>
      </c>
      <c r="H83" s="85">
        <f t="shared" si="16"/>
        <v>75</v>
      </c>
      <c r="I83" s="56">
        <f t="shared" si="0"/>
        <v>375</v>
      </c>
      <c r="J83" s="83"/>
      <c r="N83" s="66"/>
    </row>
    <row r="84" spans="1:14" s="21" customFormat="1" ht="25.5" x14ac:dyDescent="0.25">
      <c r="A84" s="53">
        <v>8</v>
      </c>
      <c r="B84" s="78" t="s">
        <v>2247</v>
      </c>
      <c r="C84" s="53" t="s">
        <v>23</v>
      </c>
      <c r="D84" s="79">
        <v>1</v>
      </c>
      <c r="E84" s="56">
        <v>380</v>
      </c>
      <c r="F84" s="56">
        <f t="shared" si="6"/>
        <v>380</v>
      </c>
      <c r="G84" s="149">
        <f t="shared" ref="G84:G144" si="17">F84*0.17</f>
        <v>64.600000000000009</v>
      </c>
      <c r="H84" s="85">
        <f t="shared" ref="H84:H144" si="18">E84*1.17</f>
        <v>444.59999999999997</v>
      </c>
      <c r="I84" s="56">
        <f t="shared" si="0"/>
        <v>444.59999999999997</v>
      </c>
      <c r="J84" s="83"/>
      <c r="N84" s="66"/>
    </row>
    <row r="85" spans="1:14" s="21" customFormat="1" ht="15.75" x14ac:dyDescent="0.25">
      <c r="A85" s="53">
        <v>1</v>
      </c>
      <c r="B85" s="78" t="s">
        <v>1523</v>
      </c>
      <c r="C85" s="53" t="s">
        <v>1506</v>
      </c>
      <c r="D85" s="79">
        <v>4</v>
      </c>
      <c r="E85" s="56">
        <v>25</v>
      </c>
      <c r="F85" s="56">
        <f t="shared" si="6"/>
        <v>100</v>
      </c>
      <c r="G85" s="149">
        <f t="shared" si="17"/>
        <v>17</v>
      </c>
      <c r="H85" s="85">
        <f t="shared" si="18"/>
        <v>29.25</v>
      </c>
      <c r="I85" s="56">
        <f t="shared" si="0"/>
        <v>117</v>
      </c>
      <c r="J85" s="83"/>
      <c r="N85" s="66"/>
    </row>
    <row r="86" spans="1:14" s="21" customFormat="1" ht="15.75" x14ac:dyDescent="0.25">
      <c r="A86" s="53">
        <v>2</v>
      </c>
      <c r="B86" s="78" t="s">
        <v>1538</v>
      </c>
      <c r="C86" s="53" t="s">
        <v>23</v>
      </c>
      <c r="D86" s="79">
        <v>1</v>
      </c>
      <c r="E86" s="56">
        <v>340</v>
      </c>
      <c r="F86" s="56">
        <f t="shared" si="6"/>
        <v>340</v>
      </c>
      <c r="G86" s="149">
        <f t="shared" si="17"/>
        <v>57.800000000000004</v>
      </c>
      <c r="H86" s="85">
        <f t="shared" si="18"/>
        <v>397.79999999999995</v>
      </c>
      <c r="I86" s="56">
        <f t="shared" si="0"/>
        <v>397.79999999999995</v>
      </c>
      <c r="J86" s="83"/>
      <c r="N86" s="66"/>
    </row>
    <row r="87" spans="1:14" s="21" customFormat="1" ht="15.75" x14ac:dyDescent="0.25">
      <c r="A87" s="53">
        <v>3</v>
      </c>
      <c r="B87" s="78" t="s">
        <v>1530</v>
      </c>
      <c r="C87" s="53" t="s">
        <v>1506</v>
      </c>
      <c r="D87" s="79">
        <v>1</v>
      </c>
      <c r="E87" s="56">
        <v>135</v>
      </c>
      <c r="F87" s="56">
        <f t="shared" si="6"/>
        <v>135</v>
      </c>
      <c r="G87" s="149">
        <f t="shared" si="17"/>
        <v>22.950000000000003</v>
      </c>
      <c r="H87" s="85">
        <f t="shared" si="18"/>
        <v>157.94999999999999</v>
      </c>
      <c r="I87" s="56">
        <f t="shared" si="0"/>
        <v>157.94999999999999</v>
      </c>
      <c r="J87" s="83"/>
      <c r="N87" s="66"/>
    </row>
    <row r="88" spans="1:14" s="21" customFormat="1" ht="15.75" x14ac:dyDescent="0.25">
      <c r="A88" s="53">
        <v>4</v>
      </c>
      <c r="B88" s="78" t="s">
        <v>1949</v>
      </c>
      <c r="C88" s="53" t="s">
        <v>76</v>
      </c>
      <c r="D88" s="79">
        <v>1</v>
      </c>
      <c r="E88" s="56">
        <v>75</v>
      </c>
      <c r="F88" s="56">
        <f t="shared" si="6"/>
        <v>75</v>
      </c>
      <c r="G88" s="149">
        <f>F88*0</f>
        <v>0</v>
      </c>
      <c r="H88" s="85">
        <f>E88*1</f>
        <v>75</v>
      </c>
      <c r="I88" s="56">
        <f t="shared" si="0"/>
        <v>75</v>
      </c>
      <c r="J88" s="83"/>
      <c r="N88" s="66"/>
    </row>
    <row r="89" spans="1:14" s="21" customFormat="1" ht="15.75" x14ac:dyDescent="0.25">
      <c r="A89" s="53">
        <v>5</v>
      </c>
      <c r="B89" s="78" t="s">
        <v>1952</v>
      </c>
      <c r="C89" s="53" t="s">
        <v>23</v>
      </c>
      <c r="D89" s="79">
        <v>200</v>
      </c>
      <c r="E89" s="56">
        <v>180</v>
      </c>
      <c r="F89" s="56">
        <f t="shared" si="6"/>
        <v>36000</v>
      </c>
      <c r="G89" s="149">
        <f t="shared" si="17"/>
        <v>6120</v>
      </c>
      <c r="H89" s="85">
        <f t="shared" si="18"/>
        <v>210.6</v>
      </c>
      <c r="I89" s="56">
        <f t="shared" si="0"/>
        <v>42120</v>
      </c>
      <c r="J89" s="83"/>
      <c r="N89" s="66"/>
    </row>
    <row r="90" spans="1:14" s="21" customFormat="1" ht="15.75" x14ac:dyDescent="0.25">
      <c r="A90" s="53">
        <v>1</v>
      </c>
      <c r="B90" s="78" t="s">
        <v>1523</v>
      </c>
      <c r="C90" s="53" t="s">
        <v>1506</v>
      </c>
      <c r="D90" s="79">
        <v>4</v>
      </c>
      <c r="E90" s="56">
        <v>25</v>
      </c>
      <c r="F90" s="56">
        <f t="shared" si="6"/>
        <v>100</v>
      </c>
      <c r="G90" s="149">
        <f t="shared" si="17"/>
        <v>17</v>
      </c>
      <c r="H90" s="85">
        <f t="shared" si="18"/>
        <v>29.25</v>
      </c>
      <c r="I90" s="56">
        <f t="shared" si="0"/>
        <v>117</v>
      </c>
      <c r="J90" s="83"/>
      <c r="N90" s="66"/>
    </row>
    <row r="91" spans="1:14" s="21" customFormat="1" ht="15.75" x14ac:dyDescent="0.25">
      <c r="A91" s="53">
        <v>2</v>
      </c>
      <c r="B91" s="78" t="s">
        <v>1538</v>
      </c>
      <c r="C91" s="53" t="s">
        <v>23</v>
      </c>
      <c r="D91" s="79">
        <v>1</v>
      </c>
      <c r="E91" s="56">
        <v>340</v>
      </c>
      <c r="F91" s="56">
        <f t="shared" si="6"/>
        <v>340</v>
      </c>
      <c r="G91" s="149">
        <f t="shared" si="17"/>
        <v>57.800000000000004</v>
      </c>
      <c r="H91" s="85">
        <f t="shared" si="18"/>
        <v>397.79999999999995</v>
      </c>
      <c r="I91" s="56">
        <f t="shared" si="0"/>
        <v>397.79999999999995</v>
      </c>
      <c r="J91" s="83"/>
      <c r="N91" s="66"/>
    </row>
    <row r="92" spans="1:14" s="21" customFormat="1" ht="15.75" x14ac:dyDescent="0.25">
      <c r="A92" s="53">
        <v>3</v>
      </c>
      <c r="B92" s="78" t="s">
        <v>1530</v>
      </c>
      <c r="C92" s="53" t="s">
        <v>1506</v>
      </c>
      <c r="D92" s="79">
        <v>1</v>
      </c>
      <c r="E92" s="56">
        <v>135</v>
      </c>
      <c r="F92" s="56">
        <f t="shared" si="6"/>
        <v>135</v>
      </c>
      <c r="G92" s="149">
        <f t="shared" si="17"/>
        <v>22.950000000000003</v>
      </c>
      <c r="H92" s="85">
        <f t="shared" si="18"/>
        <v>157.94999999999999</v>
      </c>
      <c r="I92" s="56">
        <f t="shared" si="0"/>
        <v>157.94999999999999</v>
      </c>
      <c r="J92" s="83"/>
      <c r="N92" s="66"/>
    </row>
    <row r="93" spans="1:14" s="21" customFormat="1" ht="15.75" x14ac:dyDescent="0.25">
      <c r="A93" s="53">
        <v>4</v>
      </c>
      <c r="B93" s="78" t="s">
        <v>1949</v>
      </c>
      <c r="C93" s="53" t="s">
        <v>76</v>
      </c>
      <c r="D93" s="79">
        <v>1</v>
      </c>
      <c r="E93" s="56">
        <v>75</v>
      </c>
      <c r="F93" s="56">
        <f t="shared" si="6"/>
        <v>75</v>
      </c>
      <c r="G93" s="149">
        <f>F93*0</f>
        <v>0</v>
      </c>
      <c r="H93" s="85">
        <f>E93*1</f>
        <v>75</v>
      </c>
      <c r="I93" s="56">
        <f t="shared" si="0"/>
        <v>75</v>
      </c>
      <c r="J93" s="83"/>
      <c r="N93" s="66"/>
    </row>
    <row r="94" spans="1:14" s="21" customFormat="1" ht="15.75" x14ac:dyDescent="0.25">
      <c r="A94" s="53">
        <v>5</v>
      </c>
      <c r="B94" s="78" t="s">
        <v>1952</v>
      </c>
      <c r="C94" s="53" t="s">
        <v>23</v>
      </c>
      <c r="D94" s="79">
        <v>200</v>
      </c>
      <c r="E94" s="56">
        <v>180</v>
      </c>
      <c r="F94" s="56">
        <f t="shared" si="6"/>
        <v>36000</v>
      </c>
      <c r="G94" s="149">
        <f t="shared" si="17"/>
        <v>6120</v>
      </c>
      <c r="H94" s="85">
        <f t="shared" si="18"/>
        <v>210.6</v>
      </c>
      <c r="I94" s="56">
        <f t="shared" si="0"/>
        <v>42120</v>
      </c>
      <c r="J94" s="83"/>
      <c r="N94" s="66"/>
    </row>
    <row r="95" spans="1:14" s="21" customFormat="1" ht="15.75" x14ac:dyDescent="0.25">
      <c r="A95" s="53">
        <v>1</v>
      </c>
      <c r="B95" s="78" t="s">
        <v>1519</v>
      </c>
      <c r="C95" s="53" t="s">
        <v>1506</v>
      </c>
      <c r="D95" s="79">
        <v>1</v>
      </c>
      <c r="E95" s="56">
        <v>32</v>
      </c>
      <c r="F95" s="56">
        <f t="shared" si="6"/>
        <v>32</v>
      </c>
      <c r="G95" s="149">
        <f>F95*0</f>
        <v>0</v>
      </c>
      <c r="H95" s="85">
        <f>E95*1</f>
        <v>32</v>
      </c>
      <c r="I95" s="56">
        <f t="shared" si="0"/>
        <v>32</v>
      </c>
      <c r="J95" s="83"/>
      <c r="N95" s="66"/>
    </row>
    <row r="96" spans="1:14" s="21" customFormat="1" ht="25.5" x14ac:dyDescent="0.25">
      <c r="A96" s="53">
        <v>2</v>
      </c>
      <c r="B96" s="78" t="s">
        <v>1517</v>
      </c>
      <c r="C96" s="53" t="s">
        <v>1506</v>
      </c>
      <c r="D96" s="79">
        <v>2</v>
      </c>
      <c r="E96" s="56">
        <v>250</v>
      </c>
      <c r="F96" s="56">
        <f t="shared" ref="F96:F124" si="19">D96*E96</f>
        <v>500</v>
      </c>
      <c r="G96" s="149">
        <f t="shared" si="17"/>
        <v>85</v>
      </c>
      <c r="H96" s="85">
        <f t="shared" si="18"/>
        <v>292.5</v>
      </c>
      <c r="I96" s="56">
        <f t="shared" si="0"/>
        <v>585</v>
      </c>
      <c r="J96" s="83"/>
      <c r="N96" s="66"/>
    </row>
    <row r="97" spans="1:14" s="21" customFormat="1" ht="15.75" x14ac:dyDescent="0.25">
      <c r="A97" s="53">
        <v>3</v>
      </c>
      <c r="B97" s="78" t="s">
        <v>1487</v>
      </c>
      <c r="C97" s="53" t="s">
        <v>1506</v>
      </c>
      <c r="D97" s="79">
        <v>1</v>
      </c>
      <c r="E97" s="56">
        <v>155</v>
      </c>
      <c r="F97" s="56">
        <f t="shared" si="19"/>
        <v>155</v>
      </c>
      <c r="G97" s="149">
        <f t="shared" si="17"/>
        <v>26.35</v>
      </c>
      <c r="H97" s="85">
        <f t="shared" si="18"/>
        <v>181.35</v>
      </c>
      <c r="I97" s="56">
        <f t="shared" si="0"/>
        <v>181.35</v>
      </c>
      <c r="J97" s="83"/>
      <c r="N97" s="66"/>
    </row>
    <row r="98" spans="1:14" s="21" customFormat="1" ht="25.5" x14ac:dyDescent="0.25">
      <c r="A98" s="53">
        <v>4</v>
      </c>
      <c r="B98" s="78" t="s">
        <v>1520</v>
      </c>
      <c r="C98" s="53" t="s">
        <v>1505</v>
      </c>
      <c r="D98" s="79">
        <v>1</v>
      </c>
      <c r="E98" s="56">
        <v>25</v>
      </c>
      <c r="F98" s="56">
        <f t="shared" si="19"/>
        <v>25</v>
      </c>
      <c r="G98" s="149">
        <f t="shared" ref="G98:G99" si="20">F98*0</f>
        <v>0</v>
      </c>
      <c r="H98" s="85">
        <f t="shared" ref="H98:H99" si="21">E98*1</f>
        <v>25</v>
      </c>
      <c r="I98" s="56">
        <f t="shared" si="0"/>
        <v>25</v>
      </c>
      <c r="J98" s="83"/>
      <c r="N98" s="66"/>
    </row>
    <row r="99" spans="1:14" s="21" customFormat="1" ht="25.5" x14ac:dyDescent="0.25">
      <c r="A99" s="53">
        <v>5</v>
      </c>
      <c r="B99" s="78" t="s">
        <v>1513</v>
      </c>
      <c r="C99" s="53" t="s">
        <v>1505</v>
      </c>
      <c r="D99" s="79">
        <v>1</v>
      </c>
      <c r="E99" s="56">
        <v>75</v>
      </c>
      <c r="F99" s="56">
        <f t="shared" si="19"/>
        <v>75</v>
      </c>
      <c r="G99" s="149">
        <f t="shared" si="20"/>
        <v>0</v>
      </c>
      <c r="H99" s="85">
        <f t="shared" si="21"/>
        <v>75</v>
      </c>
      <c r="I99" s="56">
        <f t="shared" si="0"/>
        <v>75</v>
      </c>
      <c r="J99" s="83"/>
      <c r="N99" s="66"/>
    </row>
    <row r="100" spans="1:14" s="21" customFormat="1" ht="15.75" x14ac:dyDescent="0.25">
      <c r="A100" s="53">
        <v>6</v>
      </c>
      <c r="B100" s="78" t="s">
        <v>1489</v>
      </c>
      <c r="C100" s="53" t="s">
        <v>1506</v>
      </c>
      <c r="D100" s="79">
        <v>1</v>
      </c>
      <c r="E100" s="56">
        <v>12</v>
      </c>
      <c r="F100" s="56">
        <f t="shared" si="19"/>
        <v>12</v>
      </c>
      <c r="G100" s="149">
        <f t="shared" si="17"/>
        <v>2.04</v>
      </c>
      <c r="H100" s="85">
        <f t="shared" si="18"/>
        <v>14.04</v>
      </c>
      <c r="I100" s="56">
        <f t="shared" si="0"/>
        <v>14.04</v>
      </c>
      <c r="J100" s="83"/>
      <c r="N100" s="66"/>
    </row>
    <row r="101" spans="1:14" s="21" customFormat="1" ht="15.75" x14ac:dyDescent="0.25">
      <c r="A101" s="53">
        <v>7</v>
      </c>
      <c r="B101" s="78" t="s">
        <v>1527</v>
      </c>
      <c r="C101" s="53" t="s">
        <v>23</v>
      </c>
      <c r="D101" s="79">
        <v>1</v>
      </c>
      <c r="E101" s="56">
        <v>28</v>
      </c>
      <c r="F101" s="56">
        <f t="shared" si="19"/>
        <v>28</v>
      </c>
      <c r="G101" s="149">
        <f t="shared" si="17"/>
        <v>4.7600000000000007</v>
      </c>
      <c r="H101" s="85">
        <f t="shared" si="18"/>
        <v>32.76</v>
      </c>
      <c r="I101" s="56">
        <f t="shared" si="0"/>
        <v>32.76</v>
      </c>
      <c r="J101" s="83"/>
      <c r="N101" s="66"/>
    </row>
    <row r="102" spans="1:14" s="21" customFormat="1" ht="25.5" x14ac:dyDescent="0.25">
      <c r="A102" s="53">
        <v>8</v>
      </c>
      <c r="B102" s="78" t="s">
        <v>1490</v>
      </c>
      <c r="C102" s="53" t="s">
        <v>1505</v>
      </c>
      <c r="D102" s="79">
        <v>1</v>
      </c>
      <c r="E102" s="56">
        <v>40</v>
      </c>
      <c r="F102" s="56">
        <f t="shared" si="19"/>
        <v>40</v>
      </c>
      <c r="G102" s="149">
        <f t="shared" si="17"/>
        <v>6.8000000000000007</v>
      </c>
      <c r="H102" s="85">
        <f t="shared" si="18"/>
        <v>46.8</v>
      </c>
      <c r="I102" s="56">
        <f t="shared" si="0"/>
        <v>46.8</v>
      </c>
      <c r="J102" s="83"/>
      <c r="N102" s="66"/>
    </row>
    <row r="103" spans="1:14" s="21" customFormat="1" ht="15.75" x14ac:dyDescent="0.25">
      <c r="A103" s="53">
        <v>9</v>
      </c>
      <c r="B103" s="78" t="s">
        <v>1528</v>
      </c>
      <c r="C103" s="53" t="s">
        <v>23</v>
      </c>
      <c r="D103" s="79">
        <v>1</v>
      </c>
      <c r="E103" s="56">
        <v>100</v>
      </c>
      <c r="F103" s="56">
        <f t="shared" si="19"/>
        <v>100</v>
      </c>
      <c r="G103" s="149">
        <f t="shared" si="17"/>
        <v>17</v>
      </c>
      <c r="H103" s="85">
        <f t="shared" si="18"/>
        <v>117</v>
      </c>
      <c r="I103" s="56">
        <f t="shared" si="0"/>
        <v>117</v>
      </c>
      <c r="J103" s="83"/>
      <c r="N103" s="66"/>
    </row>
    <row r="104" spans="1:14" s="21" customFormat="1" ht="15.75" x14ac:dyDescent="0.25">
      <c r="A104" s="53">
        <v>10</v>
      </c>
      <c r="B104" s="78" t="s">
        <v>1529</v>
      </c>
      <c r="C104" s="53" t="s">
        <v>23</v>
      </c>
      <c r="D104" s="79">
        <v>1</v>
      </c>
      <c r="E104" s="56">
        <v>28</v>
      </c>
      <c r="F104" s="56">
        <f t="shared" si="19"/>
        <v>28</v>
      </c>
      <c r="G104" s="149">
        <f>F104*0</f>
        <v>0</v>
      </c>
      <c r="H104" s="85">
        <f>E104*1</f>
        <v>28</v>
      </c>
      <c r="I104" s="56">
        <f t="shared" si="0"/>
        <v>28</v>
      </c>
      <c r="J104" s="83"/>
      <c r="N104" s="66"/>
    </row>
    <row r="105" spans="1:14" s="21" customFormat="1" ht="25.5" x14ac:dyDescent="0.25">
      <c r="A105" s="53">
        <v>11</v>
      </c>
      <c r="B105" s="78" t="s">
        <v>1491</v>
      </c>
      <c r="C105" s="53" t="s">
        <v>1506</v>
      </c>
      <c r="D105" s="79">
        <v>1</v>
      </c>
      <c r="E105" s="56">
        <v>105</v>
      </c>
      <c r="F105" s="56">
        <f t="shared" si="19"/>
        <v>105</v>
      </c>
      <c r="G105" s="149">
        <f t="shared" si="17"/>
        <v>17.850000000000001</v>
      </c>
      <c r="H105" s="85">
        <f t="shared" si="18"/>
        <v>122.85</v>
      </c>
      <c r="I105" s="56">
        <f t="shared" si="0"/>
        <v>122.85</v>
      </c>
      <c r="J105" s="83"/>
      <c r="N105" s="66"/>
    </row>
    <row r="106" spans="1:14" s="21" customFormat="1" ht="15.75" x14ac:dyDescent="0.25">
      <c r="A106" s="53">
        <v>12</v>
      </c>
      <c r="B106" s="78" t="s">
        <v>1493</v>
      </c>
      <c r="C106" s="53" t="s">
        <v>1506</v>
      </c>
      <c r="D106" s="79">
        <v>1</v>
      </c>
      <c r="E106" s="56">
        <v>180</v>
      </c>
      <c r="F106" s="56">
        <f t="shared" si="19"/>
        <v>180</v>
      </c>
      <c r="G106" s="149">
        <f t="shared" si="17"/>
        <v>30.6</v>
      </c>
      <c r="H106" s="85">
        <f t="shared" si="18"/>
        <v>210.6</v>
      </c>
      <c r="I106" s="56">
        <f t="shared" si="0"/>
        <v>210.6</v>
      </c>
      <c r="J106" s="83"/>
      <c r="N106" s="66"/>
    </row>
    <row r="107" spans="1:14" s="21" customFormat="1" ht="15.75" x14ac:dyDescent="0.25">
      <c r="A107" s="53">
        <v>13</v>
      </c>
      <c r="B107" s="78" t="s">
        <v>1501</v>
      </c>
      <c r="C107" s="53" t="s">
        <v>1506</v>
      </c>
      <c r="D107" s="79">
        <v>2</v>
      </c>
      <c r="E107" s="56">
        <v>28</v>
      </c>
      <c r="F107" s="56">
        <f t="shared" si="19"/>
        <v>56</v>
      </c>
      <c r="G107" s="149">
        <f>F107*0</f>
        <v>0</v>
      </c>
      <c r="H107" s="85">
        <f>E107*1</f>
        <v>28</v>
      </c>
      <c r="I107" s="56">
        <f t="shared" si="0"/>
        <v>56</v>
      </c>
      <c r="J107" s="83"/>
      <c r="N107" s="66"/>
    </row>
    <row r="108" spans="1:14" s="21" customFormat="1" ht="15.75" x14ac:dyDescent="0.25">
      <c r="A108" s="53">
        <v>14</v>
      </c>
      <c r="B108" s="78" t="s">
        <v>1495</v>
      </c>
      <c r="C108" s="53" t="s">
        <v>1506</v>
      </c>
      <c r="D108" s="79">
        <v>1</v>
      </c>
      <c r="E108" s="56">
        <v>110</v>
      </c>
      <c r="F108" s="56">
        <f t="shared" si="19"/>
        <v>110</v>
      </c>
      <c r="G108" s="149">
        <f t="shared" si="17"/>
        <v>18.700000000000003</v>
      </c>
      <c r="H108" s="85">
        <f t="shared" si="18"/>
        <v>128.69999999999999</v>
      </c>
      <c r="I108" s="56">
        <f t="shared" si="0"/>
        <v>128.69999999999999</v>
      </c>
      <c r="J108" s="83"/>
      <c r="N108" s="66"/>
    </row>
    <row r="109" spans="1:14" s="21" customFormat="1" ht="25.5" x14ac:dyDescent="0.25">
      <c r="A109" s="53">
        <v>15</v>
      </c>
      <c r="B109" s="78" t="s">
        <v>1496</v>
      </c>
      <c r="C109" s="53" t="s">
        <v>1506</v>
      </c>
      <c r="D109" s="79">
        <v>1</v>
      </c>
      <c r="E109" s="56">
        <v>30</v>
      </c>
      <c r="F109" s="56">
        <f t="shared" si="19"/>
        <v>30</v>
      </c>
      <c r="G109" s="149">
        <f t="shared" si="17"/>
        <v>5.1000000000000005</v>
      </c>
      <c r="H109" s="85">
        <f t="shared" si="18"/>
        <v>35.099999999999994</v>
      </c>
      <c r="I109" s="56">
        <f t="shared" si="0"/>
        <v>35.099999999999994</v>
      </c>
      <c r="J109" s="83"/>
      <c r="N109" s="66"/>
    </row>
    <row r="110" spans="1:14" s="21" customFormat="1" ht="15.75" x14ac:dyDescent="0.25">
      <c r="A110" s="53">
        <v>16</v>
      </c>
      <c r="B110" s="78" t="s">
        <v>1502</v>
      </c>
      <c r="C110" s="53" t="s">
        <v>1506</v>
      </c>
      <c r="D110" s="79">
        <v>1</v>
      </c>
      <c r="E110" s="56">
        <v>7</v>
      </c>
      <c r="F110" s="56">
        <f t="shared" si="19"/>
        <v>7</v>
      </c>
      <c r="G110" s="149">
        <f>F110*0</f>
        <v>0</v>
      </c>
      <c r="H110" s="85">
        <f>E110*1</f>
        <v>7</v>
      </c>
      <c r="I110" s="56">
        <f t="shared" si="0"/>
        <v>7</v>
      </c>
      <c r="J110" s="83"/>
      <c r="N110" s="66"/>
    </row>
    <row r="111" spans="1:14" s="21" customFormat="1" ht="15.75" x14ac:dyDescent="0.25">
      <c r="A111" s="53">
        <v>17</v>
      </c>
      <c r="B111" s="78" t="s">
        <v>1497</v>
      </c>
      <c r="C111" s="53" t="s">
        <v>1506</v>
      </c>
      <c r="D111" s="79">
        <v>1</v>
      </c>
      <c r="E111" s="56">
        <v>28</v>
      </c>
      <c r="F111" s="56">
        <f t="shared" si="19"/>
        <v>28</v>
      </c>
      <c r="G111" s="149">
        <f t="shared" si="17"/>
        <v>4.7600000000000007</v>
      </c>
      <c r="H111" s="85">
        <f t="shared" si="18"/>
        <v>32.76</v>
      </c>
      <c r="I111" s="56">
        <f t="shared" si="0"/>
        <v>32.76</v>
      </c>
      <c r="J111" s="83"/>
      <c r="N111" s="66"/>
    </row>
    <row r="112" spans="1:14" s="21" customFormat="1" ht="15.75" x14ac:dyDescent="0.25">
      <c r="A112" s="53">
        <v>18</v>
      </c>
      <c r="B112" s="78" t="s">
        <v>1498</v>
      </c>
      <c r="C112" s="53" t="s">
        <v>1506</v>
      </c>
      <c r="D112" s="79">
        <v>1</v>
      </c>
      <c r="E112" s="56">
        <v>175</v>
      </c>
      <c r="F112" s="56">
        <f t="shared" si="19"/>
        <v>175</v>
      </c>
      <c r="G112" s="149">
        <f t="shared" si="17"/>
        <v>29.750000000000004</v>
      </c>
      <c r="H112" s="85">
        <f t="shared" si="18"/>
        <v>204.75</v>
      </c>
      <c r="I112" s="56">
        <f t="shared" si="0"/>
        <v>204.75</v>
      </c>
      <c r="J112" s="83"/>
      <c r="N112" s="66"/>
    </row>
    <row r="113" spans="1:14" s="21" customFormat="1" ht="15.75" x14ac:dyDescent="0.25">
      <c r="A113" s="53">
        <v>19</v>
      </c>
      <c r="B113" s="78" t="s">
        <v>1544</v>
      </c>
      <c r="C113" s="53" t="s">
        <v>1506</v>
      </c>
      <c r="D113" s="79">
        <v>1</v>
      </c>
      <c r="E113" s="56">
        <v>100</v>
      </c>
      <c r="F113" s="56">
        <f t="shared" si="19"/>
        <v>100</v>
      </c>
      <c r="G113" s="149">
        <f t="shared" si="17"/>
        <v>17</v>
      </c>
      <c r="H113" s="85">
        <f t="shared" si="18"/>
        <v>117</v>
      </c>
      <c r="I113" s="56">
        <f t="shared" si="0"/>
        <v>117</v>
      </c>
      <c r="J113" s="83"/>
      <c r="N113" s="66"/>
    </row>
    <row r="114" spans="1:14" s="21" customFormat="1" ht="25.5" x14ac:dyDescent="0.25">
      <c r="A114" s="53">
        <v>20</v>
      </c>
      <c r="B114" s="78" t="s">
        <v>1539</v>
      </c>
      <c r="C114" s="53" t="s">
        <v>1506</v>
      </c>
      <c r="D114" s="79">
        <v>1</v>
      </c>
      <c r="E114" s="56">
        <v>125</v>
      </c>
      <c r="F114" s="56">
        <f t="shared" si="19"/>
        <v>125</v>
      </c>
      <c r="G114" s="149">
        <f t="shared" si="17"/>
        <v>21.25</v>
      </c>
      <c r="H114" s="85">
        <f t="shared" si="18"/>
        <v>146.25</v>
      </c>
      <c r="I114" s="56">
        <f t="shared" si="0"/>
        <v>146.25</v>
      </c>
      <c r="J114" s="83"/>
      <c r="N114" s="66"/>
    </row>
    <row r="115" spans="1:14" s="21" customFormat="1" ht="15.75" x14ac:dyDescent="0.25">
      <c r="A115" s="53">
        <v>21</v>
      </c>
      <c r="B115" s="78" t="s">
        <v>2242</v>
      </c>
      <c r="C115" s="53" t="s">
        <v>23</v>
      </c>
      <c r="D115" s="79">
        <v>2</v>
      </c>
      <c r="E115" s="56">
        <v>115</v>
      </c>
      <c r="F115" s="56">
        <f t="shared" si="19"/>
        <v>230</v>
      </c>
      <c r="G115" s="149">
        <f>F115*0</f>
        <v>0</v>
      </c>
      <c r="H115" s="85">
        <f>E115*1</f>
        <v>115</v>
      </c>
      <c r="I115" s="56">
        <f t="shared" si="0"/>
        <v>230</v>
      </c>
      <c r="J115" s="83"/>
      <c r="N115" s="66"/>
    </row>
    <row r="116" spans="1:14" s="21" customFormat="1" ht="25.5" x14ac:dyDescent="0.25">
      <c r="A116" s="53">
        <v>22</v>
      </c>
      <c r="B116" s="78" t="s">
        <v>2247</v>
      </c>
      <c r="C116" s="53" t="s">
        <v>23</v>
      </c>
      <c r="D116" s="79">
        <v>1</v>
      </c>
      <c r="E116" s="56">
        <v>380</v>
      </c>
      <c r="F116" s="56">
        <f t="shared" si="19"/>
        <v>380</v>
      </c>
      <c r="G116" s="149">
        <f t="shared" si="17"/>
        <v>64.600000000000009</v>
      </c>
      <c r="H116" s="85">
        <f t="shared" si="18"/>
        <v>444.59999999999997</v>
      </c>
      <c r="I116" s="56">
        <f t="shared" si="0"/>
        <v>444.59999999999997</v>
      </c>
      <c r="J116" s="83"/>
      <c r="N116" s="66"/>
    </row>
    <row r="117" spans="1:14" s="21" customFormat="1" ht="25.5" x14ac:dyDescent="0.25">
      <c r="A117" s="53">
        <v>1</v>
      </c>
      <c r="B117" s="78" t="s">
        <v>1517</v>
      </c>
      <c r="C117" s="53" t="s">
        <v>1506</v>
      </c>
      <c r="D117" s="79">
        <v>1</v>
      </c>
      <c r="E117" s="56">
        <v>250</v>
      </c>
      <c r="F117" s="56">
        <f t="shared" si="19"/>
        <v>250</v>
      </c>
      <c r="G117" s="149">
        <f t="shared" si="17"/>
        <v>42.5</v>
      </c>
      <c r="H117" s="85">
        <f t="shared" si="18"/>
        <v>292.5</v>
      </c>
      <c r="I117" s="56">
        <f t="shared" si="0"/>
        <v>292.5</v>
      </c>
      <c r="J117" s="83"/>
      <c r="N117" s="66"/>
    </row>
    <row r="118" spans="1:14" s="21" customFormat="1" ht="15.75" x14ac:dyDescent="0.25">
      <c r="A118" s="53">
        <v>2</v>
      </c>
      <c r="B118" s="78" t="s">
        <v>1527</v>
      </c>
      <c r="C118" s="53" t="s">
        <v>23</v>
      </c>
      <c r="D118" s="79">
        <v>3</v>
      </c>
      <c r="E118" s="56">
        <v>28</v>
      </c>
      <c r="F118" s="56">
        <f t="shared" si="19"/>
        <v>84</v>
      </c>
      <c r="G118" s="149">
        <f t="shared" si="17"/>
        <v>14.280000000000001</v>
      </c>
      <c r="H118" s="85">
        <f t="shared" si="18"/>
        <v>32.76</v>
      </c>
      <c r="I118" s="56">
        <f t="shared" si="0"/>
        <v>98.28</v>
      </c>
      <c r="J118" s="83"/>
      <c r="N118" s="66"/>
    </row>
    <row r="119" spans="1:14" s="21" customFormat="1" ht="15.75" x14ac:dyDescent="0.25">
      <c r="A119" s="53">
        <v>3</v>
      </c>
      <c r="B119" s="78" t="s">
        <v>1529</v>
      </c>
      <c r="C119" s="53" t="s">
        <v>23</v>
      </c>
      <c r="D119" s="79">
        <v>2</v>
      </c>
      <c r="E119" s="56">
        <v>28</v>
      </c>
      <c r="F119" s="56">
        <f t="shared" si="19"/>
        <v>56</v>
      </c>
      <c r="G119" s="149">
        <f t="shared" ref="G119:G120" si="22">F119*0</f>
        <v>0</v>
      </c>
      <c r="H119" s="85">
        <f t="shared" ref="H119:H120" si="23">E119*1</f>
        <v>28</v>
      </c>
      <c r="I119" s="56">
        <f t="shared" si="0"/>
        <v>56</v>
      </c>
      <c r="J119" s="83"/>
      <c r="N119" s="66"/>
    </row>
    <row r="120" spans="1:14" s="21" customFormat="1" ht="15.75" x14ac:dyDescent="0.25">
      <c r="A120" s="53">
        <v>4</v>
      </c>
      <c r="B120" s="78" t="s">
        <v>1501</v>
      </c>
      <c r="C120" s="53" t="s">
        <v>1506</v>
      </c>
      <c r="D120" s="79">
        <v>3</v>
      </c>
      <c r="E120" s="56">
        <v>28</v>
      </c>
      <c r="F120" s="56">
        <f t="shared" si="19"/>
        <v>84</v>
      </c>
      <c r="G120" s="149">
        <f t="shared" si="22"/>
        <v>0</v>
      </c>
      <c r="H120" s="85">
        <f t="shared" si="23"/>
        <v>28</v>
      </c>
      <c r="I120" s="56">
        <f t="shared" si="0"/>
        <v>84</v>
      </c>
      <c r="J120" s="83"/>
      <c r="N120" s="66"/>
    </row>
    <row r="121" spans="1:14" s="21" customFormat="1" ht="15.75" x14ac:dyDescent="0.25">
      <c r="A121" s="53">
        <v>5</v>
      </c>
      <c r="B121" s="78" t="s">
        <v>1495</v>
      </c>
      <c r="C121" s="53" t="s">
        <v>1506</v>
      </c>
      <c r="D121" s="79">
        <v>1</v>
      </c>
      <c r="E121" s="56">
        <v>110</v>
      </c>
      <c r="F121" s="56">
        <f t="shared" si="19"/>
        <v>110</v>
      </c>
      <c r="G121" s="149">
        <f t="shared" si="17"/>
        <v>18.700000000000003</v>
      </c>
      <c r="H121" s="85">
        <f t="shared" si="18"/>
        <v>128.69999999999999</v>
      </c>
      <c r="I121" s="56">
        <f t="shared" si="0"/>
        <v>128.69999999999999</v>
      </c>
      <c r="J121" s="83"/>
      <c r="N121" s="66"/>
    </row>
    <row r="122" spans="1:14" s="21" customFormat="1" ht="25.5" x14ac:dyDescent="0.25">
      <c r="A122" s="53">
        <v>6</v>
      </c>
      <c r="B122" s="78" t="s">
        <v>1496</v>
      </c>
      <c r="C122" s="53" t="s">
        <v>1506</v>
      </c>
      <c r="D122" s="79">
        <v>3</v>
      </c>
      <c r="E122" s="56">
        <v>30</v>
      </c>
      <c r="F122" s="56">
        <f t="shared" si="19"/>
        <v>90</v>
      </c>
      <c r="G122" s="149">
        <f t="shared" si="17"/>
        <v>15.3</v>
      </c>
      <c r="H122" s="85">
        <f t="shared" si="18"/>
        <v>35.099999999999994</v>
      </c>
      <c r="I122" s="56">
        <f t="shared" si="0"/>
        <v>105.29999999999998</v>
      </c>
      <c r="J122" s="83"/>
      <c r="N122" s="66"/>
    </row>
    <row r="123" spans="1:14" s="21" customFormat="1" ht="15.75" x14ac:dyDescent="0.25">
      <c r="A123" s="53">
        <v>7</v>
      </c>
      <c r="B123" s="78" t="s">
        <v>1536</v>
      </c>
      <c r="C123" s="53" t="s">
        <v>1506</v>
      </c>
      <c r="D123" s="79">
        <v>4</v>
      </c>
      <c r="E123" s="56">
        <v>25</v>
      </c>
      <c r="F123" s="56">
        <f t="shared" si="19"/>
        <v>100</v>
      </c>
      <c r="G123" s="149">
        <f t="shared" si="17"/>
        <v>17</v>
      </c>
      <c r="H123" s="85">
        <f t="shared" si="18"/>
        <v>29.25</v>
      </c>
      <c r="I123" s="56">
        <f t="shared" si="0"/>
        <v>117</v>
      </c>
      <c r="J123" s="83"/>
      <c r="N123" s="66"/>
    </row>
    <row r="124" spans="1:14" s="21" customFormat="1" ht="15.75" x14ac:dyDescent="0.25">
      <c r="A124" s="53">
        <v>8</v>
      </c>
      <c r="B124" s="78" t="s">
        <v>1544</v>
      </c>
      <c r="C124" s="53" t="s">
        <v>1506</v>
      </c>
      <c r="D124" s="79">
        <v>1</v>
      </c>
      <c r="E124" s="56">
        <v>100</v>
      </c>
      <c r="F124" s="56">
        <f t="shared" si="19"/>
        <v>100</v>
      </c>
      <c r="G124" s="149">
        <f t="shared" si="17"/>
        <v>17</v>
      </c>
      <c r="H124" s="85">
        <f t="shared" si="18"/>
        <v>117</v>
      </c>
      <c r="I124" s="56">
        <f t="shared" si="0"/>
        <v>117</v>
      </c>
      <c r="J124" s="83"/>
      <c r="N124" s="66"/>
    </row>
    <row r="125" spans="1:14" s="21" customFormat="1" ht="25.5" x14ac:dyDescent="0.25">
      <c r="A125" s="53">
        <v>9</v>
      </c>
      <c r="B125" s="78" t="s">
        <v>1539</v>
      </c>
      <c r="C125" s="53" t="s">
        <v>1506</v>
      </c>
      <c r="D125" s="79">
        <v>1</v>
      </c>
      <c r="E125" s="56">
        <v>125</v>
      </c>
      <c r="F125" s="56">
        <f>D125*E125</f>
        <v>125</v>
      </c>
      <c r="G125" s="149">
        <f t="shared" si="17"/>
        <v>21.25</v>
      </c>
      <c r="H125" s="85">
        <f t="shared" si="18"/>
        <v>146.25</v>
      </c>
      <c r="I125" s="56">
        <f t="shared" si="0"/>
        <v>146.25</v>
      </c>
      <c r="J125" s="83"/>
      <c r="N125" s="66"/>
    </row>
    <row r="126" spans="1:14" s="21" customFormat="1" ht="15.75" x14ac:dyDescent="0.25">
      <c r="A126" s="53">
        <v>10</v>
      </c>
      <c r="B126" s="78" t="s">
        <v>1949</v>
      </c>
      <c r="C126" s="53" t="s">
        <v>76</v>
      </c>
      <c r="D126" s="79">
        <v>4</v>
      </c>
      <c r="E126" s="56">
        <v>75</v>
      </c>
      <c r="F126" s="56">
        <f t="shared" ref="F126:F189" si="24">D126*E126</f>
        <v>300</v>
      </c>
      <c r="G126" s="149">
        <f>F126*0</f>
        <v>0</v>
      </c>
      <c r="H126" s="85">
        <f>E126*1</f>
        <v>75</v>
      </c>
      <c r="I126" s="56">
        <f t="shared" si="0"/>
        <v>300</v>
      </c>
      <c r="J126" s="83"/>
      <c r="N126" s="66"/>
    </row>
    <row r="127" spans="1:14" s="21" customFormat="1" ht="15.75" x14ac:dyDescent="0.25">
      <c r="A127" s="53">
        <v>11</v>
      </c>
      <c r="B127" s="78" t="s">
        <v>2245</v>
      </c>
      <c r="C127" s="53" t="s">
        <v>23</v>
      </c>
      <c r="D127" s="79">
        <v>3</v>
      </c>
      <c r="E127" s="56">
        <v>18</v>
      </c>
      <c r="F127" s="56">
        <f t="shared" si="24"/>
        <v>54</v>
      </c>
      <c r="G127" s="149">
        <f t="shared" si="17"/>
        <v>9.1800000000000015</v>
      </c>
      <c r="H127" s="85">
        <f t="shared" si="18"/>
        <v>21.06</v>
      </c>
      <c r="I127" s="56">
        <f t="shared" si="0"/>
        <v>63.179999999999993</v>
      </c>
      <c r="J127" s="83"/>
      <c r="N127" s="66"/>
    </row>
    <row r="128" spans="1:14" s="21" customFormat="1" ht="15.75" x14ac:dyDescent="0.25">
      <c r="A128" s="53">
        <v>12</v>
      </c>
      <c r="B128" s="78" t="s">
        <v>2246</v>
      </c>
      <c r="C128" s="53" t="s">
        <v>23</v>
      </c>
      <c r="D128" s="79">
        <v>1</v>
      </c>
      <c r="E128" s="56">
        <v>160</v>
      </c>
      <c r="F128" s="56">
        <f t="shared" si="24"/>
        <v>160</v>
      </c>
      <c r="G128" s="149">
        <f t="shared" si="17"/>
        <v>27.200000000000003</v>
      </c>
      <c r="H128" s="85">
        <f t="shared" si="18"/>
        <v>187.2</v>
      </c>
      <c r="I128" s="56">
        <f t="shared" si="0"/>
        <v>187.2</v>
      </c>
      <c r="J128" s="83"/>
      <c r="N128" s="66"/>
    </row>
    <row r="129" spans="1:14" s="21" customFormat="1" ht="25.5" x14ac:dyDescent="0.25">
      <c r="A129" s="53">
        <v>13</v>
      </c>
      <c r="B129" s="78" t="s">
        <v>2247</v>
      </c>
      <c r="C129" s="53" t="s">
        <v>23</v>
      </c>
      <c r="D129" s="79">
        <v>1</v>
      </c>
      <c r="E129" s="56">
        <v>380</v>
      </c>
      <c r="F129" s="56">
        <f t="shared" si="24"/>
        <v>380</v>
      </c>
      <c r="G129" s="149">
        <f t="shared" si="17"/>
        <v>64.600000000000009</v>
      </c>
      <c r="H129" s="85">
        <f t="shared" si="18"/>
        <v>444.59999999999997</v>
      </c>
      <c r="I129" s="56">
        <f t="shared" si="0"/>
        <v>444.59999999999997</v>
      </c>
      <c r="J129" s="83"/>
      <c r="N129" s="66"/>
    </row>
    <row r="130" spans="1:14" s="21" customFormat="1" ht="15.75" x14ac:dyDescent="0.25">
      <c r="A130" s="53">
        <v>14</v>
      </c>
      <c r="B130" s="78" t="s">
        <v>1550</v>
      </c>
      <c r="C130" s="53" t="s">
        <v>166</v>
      </c>
      <c r="D130" s="79">
        <v>1</v>
      </c>
      <c r="E130" s="56">
        <v>85</v>
      </c>
      <c r="F130" s="56">
        <f t="shared" si="24"/>
        <v>85</v>
      </c>
      <c r="G130" s="149">
        <f t="shared" si="17"/>
        <v>14.450000000000001</v>
      </c>
      <c r="H130" s="85">
        <f t="shared" si="18"/>
        <v>99.449999999999989</v>
      </c>
      <c r="I130" s="56">
        <f t="shared" si="0"/>
        <v>99.449999999999989</v>
      </c>
      <c r="J130" s="83"/>
      <c r="N130" s="66"/>
    </row>
    <row r="131" spans="1:14" s="21" customFormat="1" ht="15.75" x14ac:dyDescent="0.25">
      <c r="A131" s="53">
        <v>1</v>
      </c>
      <c r="B131" s="78" t="s">
        <v>1486</v>
      </c>
      <c r="C131" s="53" t="s">
        <v>1506</v>
      </c>
      <c r="D131" s="79">
        <v>5</v>
      </c>
      <c r="E131" s="56">
        <v>90</v>
      </c>
      <c r="F131" s="56">
        <f t="shared" si="24"/>
        <v>450</v>
      </c>
      <c r="G131" s="149">
        <f t="shared" si="17"/>
        <v>76.5</v>
      </c>
      <c r="H131" s="85">
        <f t="shared" si="18"/>
        <v>105.3</v>
      </c>
      <c r="I131" s="56">
        <f t="shared" si="0"/>
        <v>526.5</v>
      </c>
      <c r="J131" s="83"/>
      <c r="N131" s="66"/>
    </row>
    <row r="132" spans="1:14" s="21" customFormat="1" ht="25.5" x14ac:dyDescent="0.25">
      <c r="A132" s="53">
        <v>2</v>
      </c>
      <c r="B132" s="78" t="s">
        <v>1513</v>
      </c>
      <c r="C132" s="53" t="s">
        <v>1505</v>
      </c>
      <c r="D132" s="79">
        <v>6</v>
      </c>
      <c r="E132" s="56">
        <v>75</v>
      </c>
      <c r="F132" s="56">
        <f t="shared" si="24"/>
        <v>450</v>
      </c>
      <c r="G132" s="149">
        <f>F132*0</f>
        <v>0</v>
      </c>
      <c r="H132" s="85">
        <f>E132*1</f>
        <v>75</v>
      </c>
      <c r="I132" s="56">
        <f t="shared" si="0"/>
        <v>450</v>
      </c>
      <c r="J132" s="83"/>
      <c r="N132" s="66"/>
    </row>
    <row r="133" spans="1:14" s="21" customFormat="1" ht="15.75" x14ac:dyDescent="0.25">
      <c r="A133" s="53">
        <v>3</v>
      </c>
      <c r="B133" s="78" t="s">
        <v>1527</v>
      </c>
      <c r="C133" s="53" t="s">
        <v>23</v>
      </c>
      <c r="D133" s="79">
        <v>4</v>
      </c>
      <c r="E133" s="56">
        <v>28</v>
      </c>
      <c r="F133" s="56">
        <f t="shared" si="24"/>
        <v>112</v>
      </c>
      <c r="G133" s="149">
        <f t="shared" si="17"/>
        <v>19.040000000000003</v>
      </c>
      <c r="H133" s="85">
        <f t="shared" si="18"/>
        <v>32.76</v>
      </c>
      <c r="I133" s="56">
        <f t="shared" si="0"/>
        <v>131.04</v>
      </c>
      <c r="J133" s="83"/>
      <c r="N133" s="66"/>
    </row>
    <row r="134" spans="1:14" s="21" customFormat="1" ht="25.5" x14ac:dyDescent="0.25">
      <c r="A134" s="53">
        <v>4</v>
      </c>
      <c r="B134" s="78" t="s">
        <v>1518</v>
      </c>
      <c r="C134" s="53" t="s">
        <v>1505</v>
      </c>
      <c r="D134" s="79">
        <v>2</v>
      </c>
      <c r="E134" s="56">
        <v>25</v>
      </c>
      <c r="F134" s="56">
        <f t="shared" si="24"/>
        <v>50</v>
      </c>
      <c r="G134" s="149">
        <f t="shared" si="17"/>
        <v>8.5</v>
      </c>
      <c r="H134" s="85">
        <f t="shared" si="18"/>
        <v>29.25</v>
      </c>
      <c r="I134" s="56">
        <f t="shared" si="0"/>
        <v>58.5</v>
      </c>
      <c r="J134" s="83"/>
      <c r="N134" s="66"/>
    </row>
    <row r="135" spans="1:14" s="21" customFormat="1" ht="15.75" x14ac:dyDescent="0.25">
      <c r="A135" s="53">
        <v>5</v>
      </c>
      <c r="B135" s="78" t="s">
        <v>1495</v>
      </c>
      <c r="C135" s="53" t="s">
        <v>1506</v>
      </c>
      <c r="D135" s="79">
        <v>1</v>
      </c>
      <c r="E135" s="56">
        <v>110</v>
      </c>
      <c r="F135" s="56">
        <f t="shared" si="24"/>
        <v>110</v>
      </c>
      <c r="G135" s="149">
        <f t="shared" si="17"/>
        <v>18.700000000000003</v>
      </c>
      <c r="H135" s="85">
        <f t="shared" si="18"/>
        <v>128.69999999999999</v>
      </c>
      <c r="I135" s="56">
        <f t="shared" si="0"/>
        <v>128.69999999999999</v>
      </c>
      <c r="J135" s="83"/>
      <c r="N135" s="66"/>
    </row>
    <row r="136" spans="1:14" s="21" customFormat="1" ht="25.5" x14ac:dyDescent="0.25">
      <c r="A136" s="53">
        <v>6</v>
      </c>
      <c r="B136" s="78" t="s">
        <v>1496</v>
      </c>
      <c r="C136" s="53" t="s">
        <v>1506</v>
      </c>
      <c r="D136" s="79">
        <v>2</v>
      </c>
      <c r="E136" s="56">
        <v>30</v>
      </c>
      <c r="F136" s="56">
        <f t="shared" si="24"/>
        <v>60</v>
      </c>
      <c r="G136" s="149">
        <f t="shared" si="17"/>
        <v>10.200000000000001</v>
      </c>
      <c r="H136" s="85">
        <f t="shared" si="18"/>
        <v>35.099999999999994</v>
      </c>
      <c r="I136" s="56">
        <f t="shared" si="0"/>
        <v>70.199999999999989</v>
      </c>
      <c r="J136" s="83"/>
      <c r="N136" s="66"/>
    </row>
    <row r="137" spans="1:14" s="21" customFormat="1" ht="15.75" x14ac:dyDescent="0.25">
      <c r="A137" s="53">
        <v>7</v>
      </c>
      <c r="B137" s="78" t="s">
        <v>1544</v>
      </c>
      <c r="C137" s="53" t="s">
        <v>1506</v>
      </c>
      <c r="D137" s="79">
        <v>2</v>
      </c>
      <c r="E137" s="56">
        <v>100</v>
      </c>
      <c r="F137" s="56">
        <f t="shared" si="24"/>
        <v>200</v>
      </c>
      <c r="G137" s="149">
        <f t="shared" si="17"/>
        <v>34</v>
      </c>
      <c r="H137" s="85">
        <f t="shared" si="18"/>
        <v>117</v>
      </c>
      <c r="I137" s="56">
        <f t="shared" si="0"/>
        <v>234</v>
      </c>
      <c r="J137" s="83"/>
      <c r="N137" s="66"/>
    </row>
    <row r="138" spans="1:14" s="21" customFormat="1" ht="15.75" x14ac:dyDescent="0.25">
      <c r="A138" s="53">
        <v>8</v>
      </c>
      <c r="B138" s="78" t="s">
        <v>1949</v>
      </c>
      <c r="C138" s="53" t="s">
        <v>76</v>
      </c>
      <c r="D138" s="79">
        <v>5</v>
      </c>
      <c r="E138" s="56">
        <v>75</v>
      </c>
      <c r="F138" s="56">
        <f t="shared" si="24"/>
        <v>375</v>
      </c>
      <c r="G138" s="149">
        <f t="shared" ref="G138:G139" si="25">F138*0</f>
        <v>0</v>
      </c>
      <c r="H138" s="85">
        <f t="shared" ref="H138:H139" si="26">E138*1</f>
        <v>75</v>
      </c>
      <c r="I138" s="56">
        <f t="shared" si="0"/>
        <v>375</v>
      </c>
      <c r="J138" s="83"/>
      <c r="N138" s="66"/>
    </row>
    <row r="139" spans="1:14" s="21" customFormat="1" ht="15.75" x14ac:dyDescent="0.25">
      <c r="A139" s="53">
        <v>9</v>
      </c>
      <c r="B139" s="78" t="s">
        <v>2242</v>
      </c>
      <c r="C139" s="53" t="s">
        <v>23</v>
      </c>
      <c r="D139" s="79">
        <v>3</v>
      </c>
      <c r="E139" s="56">
        <v>115</v>
      </c>
      <c r="F139" s="56">
        <f t="shared" si="24"/>
        <v>345</v>
      </c>
      <c r="G139" s="149">
        <f t="shared" si="25"/>
        <v>0</v>
      </c>
      <c r="H139" s="85">
        <f t="shared" si="26"/>
        <v>115</v>
      </c>
      <c r="I139" s="56">
        <f t="shared" si="0"/>
        <v>345</v>
      </c>
      <c r="J139" s="83"/>
      <c r="N139" s="66"/>
    </row>
    <row r="140" spans="1:14" s="21" customFormat="1" ht="15.75" x14ac:dyDescent="0.25">
      <c r="A140" s="53">
        <v>10</v>
      </c>
      <c r="B140" s="78" t="s">
        <v>966</v>
      </c>
      <c r="C140" s="53" t="s">
        <v>23</v>
      </c>
      <c r="D140" s="79">
        <v>2</v>
      </c>
      <c r="E140" s="56">
        <v>18</v>
      </c>
      <c r="F140" s="56">
        <f t="shared" si="24"/>
        <v>36</v>
      </c>
      <c r="G140" s="149">
        <f t="shared" si="17"/>
        <v>6.12</v>
      </c>
      <c r="H140" s="85">
        <f t="shared" si="18"/>
        <v>21.06</v>
      </c>
      <c r="I140" s="56">
        <f t="shared" si="0"/>
        <v>42.12</v>
      </c>
      <c r="J140" s="83"/>
      <c r="N140" s="66"/>
    </row>
    <row r="141" spans="1:14" s="21" customFormat="1" ht="15.75" x14ac:dyDescent="0.25">
      <c r="A141" s="53">
        <v>11</v>
      </c>
      <c r="B141" s="78" t="s">
        <v>2245</v>
      </c>
      <c r="C141" s="53" t="s">
        <v>23</v>
      </c>
      <c r="D141" s="79">
        <v>1</v>
      </c>
      <c r="E141" s="56">
        <v>25</v>
      </c>
      <c r="F141" s="56">
        <f t="shared" si="24"/>
        <v>25</v>
      </c>
      <c r="G141" s="149">
        <f t="shared" si="17"/>
        <v>4.25</v>
      </c>
      <c r="H141" s="85">
        <f t="shared" si="18"/>
        <v>29.25</v>
      </c>
      <c r="I141" s="56">
        <f t="shared" si="0"/>
        <v>29.25</v>
      </c>
      <c r="J141" s="83"/>
      <c r="N141" s="66"/>
    </row>
    <row r="142" spans="1:14" s="21" customFormat="1" ht="15.75" x14ac:dyDescent="0.25">
      <c r="A142" s="53">
        <v>12</v>
      </c>
      <c r="B142" s="78" t="s">
        <v>2248</v>
      </c>
      <c r="C142" s="53" t="s">
        <v>23</v>
      </c>
      <c r="D142" s="79">
        <v>2</v>
      </c>
      <c r="E142" s="56">
        <v>210</v>
      </c>
      <c r="F142" s="56">
        <f t="shared" si="24"/>
        <v>420</v>
      </c>
      <c r="G142" s="149">
        <f t="shared" si="17"/>
        <v>71.400000000000006</v>
      </c>
      <c r="H142" s="85">
        <f t="shared" si="18"/>
        <v>245.7</v>
      </c>
      <c r="I142" s="56">
        <f t="shared" si="0"/>
        <v>491.4</v>
      </c>
      <c r="J142" s="83"/>
      <c r="N142" s="66"/>
    </row>
    <row r="143" spans="1:14" s="21" customFormat="1" ht="25.5" x14ac:dyDescent="0.25">
      <c r="A143" s="53">
        <v>1</v>
      </c>
      <c r="B143" s="78" t="s">
        <v>1517</v>
      </c>
      <c r="C143" s="53" t="s">
        <v>1506</v>
      </c>
      <c r="D143" s="79">
        <v>1</v>
      </c>
      <c r="E143" s="56">
        <v>250</v>
      </c>
      <c r="F143" s="56">
        <f t="shared" si="24"/>
        <v>250</v>
      </c>
      <c r="G143" s="149">
        <f t="shared" si="17"/>
        <v>42.5</v>
      </c>
      <c r="H143" s="85">
        <f t="shared" si="18"/>
        <v>292.5</v>
      </c>
      <c r="I143" s="56">
        <f t="shared" si="0"/>
        <v>292.5</v>
      </c>
      <c r="J143" s="83"/>
      <c r="N143" s="66"/>
    </row>
    <row r="144" spans="1:14" s="21" customFormat="1" ht="15.75" x14ac:dyDescent="0.25">
      <c r="A144" s="53">
        <v>2</v>
      </c>
      <c r="B144" s="78" t="s">
        <v>1487</v>
      </c>
      <c r="C144" s="53" t="s">
        <v>1506</v>
      </c>
      <c r="D144" s="79">
        <v>1</v>
      </c>
      <c r="E144" s="56">
        <v>155</v>
      </c>
      <c r="F144" s="56">
        <f t="shared" si="24"/>
        <v>155</v>
      </c>
      <c r="G144" s="149">
        <f t="shared" si="17"/>
        <v>26.35</v>
      </c>
      <c r="H144" s="85">
        <f t="shared" si="18"/>
        <v>181.35</v>
      </c>
      <c r="I144" s="56">
        <f t="shared" si="0"/>
        <v>181.35</v>
      </c>
      <c r="J144" s="83"/>
      <c r="N144" s="66"/>
    </row>
    <row r="145" spans="1:14" s="21" customFormat="1" ht="25.5" x14ac:dyDescent="0.25">
      <c r="A145" s="53">
        <v>3</v>
      </c>
      <c r="B145" s="78" t="s">
        <v>1513</v>
      </c>
      <c r="C145" s="53" t="s">
        <v>1505</v>
      </c>
      <c r="D145" s="79">
        <v>1</v>
      </c>
      <c r="E145" s="56">
        <v>75</v>
      </c>
      <c r="F145" s="56">
        <f t="shared" si="24"/>
        <v>75</v>
      </c>
      <c r="G145" s="149">
        <f>F145*0</f>
        <v>0</v>
      </c>
      <c r="H145" s="85">
        <f>E145*1</f>
        <v>75</v>
      </c>
      <c r="I145" s="56">
        <f t="shared" si="0"/>
        <v>75</v>
      </c>
      <c r="J145" s="83"/>
      <c r="N145" s="66"/>
    </row>
    <row r="146" spans="1:14" s="21" customFormat="1" ht="15.75" x14ac:dyDescent="0.25">
      <c r="A146" s="53">
        <v>4</v>
      </c>
      <c r="B146" s="78" t="s">
        <v>1527</v>
      </c>
      <c r="C146" s="53" t="s">
        <v>23</v>
      </c>
      <c r="D146" s="79">
        <v>5</v>
      </c>
      <c r="E146" s="56">
        <v>28</v>
      </c>
      <c r="F146" s="56">
        <f t="shared" si="24"/>
        <v>140</v>
      </c>
      <c r="G146" s="149">
        <f t="shared" ref="G146:G209" si="27">F146*0.17</f>
        <v>23.8</v>
      </c>
      <c r="H146" s="85">
        <f t="shared" ref="H146:H209" si="28">E146*1.17</f>
        <v>32.76</v>
      </c>
      <c r="I146" s="56">
        <f t="shared" si="0"/>
        <v>163.79999999999998</v>
      </c>
      <c r="J146" s="83"/>
      <c r="N146" s="66"/>
    </row>
    <row r="147" spans="1:14" s="21" customFormat="1" ht="15.75" x14ac:dyDescent="0.25">
      <c r="A147" s="53">
        <v>5</v>
      </c>
      <c r="B147" s="78" t="s">
        <v>1529</v>
      </c>
      <c r="C147" s="53" t="s">
        <v>23</v>
      </c>
      <c r="D147" s="79">
        <v>1</v>
      </c>
      <c r="E147" s="56">
        <v>28</v>
      </c>
      <c r="F147" s="56">
        <f t="shared" si="24"/>
        <v>28</v>
      </c>
      <c r="G147" s="149">
        <f>F147*0</f>
        <v>0</v>
      </c>
      <c r="H147" s="85">
        <f>E147*1</f>
        <v>28</v>
      </c>
      <c r="I147" s="56">
        <f t="shared" si="0"/>
        <v>28</v>
      </c>
      <c r="J147" s="83"/>
      <c r="N147" s="66"/>
    </row>
    <row r="148" spans="1:14" s="21" customFormat="1" ht="15.75" x14ac:dyDescent="0.25">
      <c r="A148" s="53">
        <v>6</v>
      </c>
      <c r="B148" s="78" t="s">
        <v>1493</v>
      </c>
      <c r="C148" s="53" t="s">
        <v>1506</v>
      </c>
      <c r="D148" s="79">
        <v>1</v>
      </c>
      <c r="E148" s="56">
        <v>180</v>
      </c>
      <c r="F148" s="56">
        <f t="shared" si="24"/>
        <v>180</v>
      </c>
      <c r="G148" s="149">
        <f t="shared" si="27"/>
        <v>30.6</v>
      </c>
      <c r="H148" s="85">
        <f t="shared" si="28"/>
        <v>210.6</v>
      </c>
      <c r="I148" s="56">
        <f t="shared" si="0"/>
        <v>210.6</v>
      </c>
      <c r="J148" s="83"/>
      <c r="N148" s="66"/>
    </row>
    <row r="149" spans="1:14" s="21" customFormat="1" ht="15.75" x14ac:dyDescent="0.25">
      <c r="A149" s="53">
        <v>7</v>
      </c>
      <c r="B149" s="78" t="s">
        <v>1501</v>
      </c>
      <c r="C149" s="53" t="s">
        <v>1506</v>
      </c>
      <c r="D149" s="79">
        <v>3</v>
      </c>
      <c r="E149" s="56">
        <v>28</v>
      </c>
      <c r="F149" s="56">
        <f t="shared" si="24"/>
        <v>84</v>
      </c>
      <c r="G149" s="149">
        <f>F149*0</f>
        <v>0</v>
      </c>
      <c r="H149" s="85">
        <f>E149*1</f>
        <v>28</v>
      </c>
      <c r="I149" s="56">
        <f t="shared" si="0"/>
        <v>84</v>
      </c>
      <c r="J149" s="83"/>
      <c r="N149" s="66"/>
    </row>
    <row r="150" spans="1:14" s="21" customFormat="1" ht="25.5" x14ac:dyDescent="0.25">
      <c r="A150" s="53">
        <v>8</v>
      </c>
      <c r="B150" s="78" t="s">
        <v>1518</v>
      </c>
      <c r="C150" s="53" t="s">
        <v>1505</v>
      </c>
      <c r="D150" s="79">
        <v>1</v>
      </c>
      <c r="E150" s="56">
        <v>25</v>
      </c>
      <c r="F150" s="56">
        <f t="shared" si="24"/>
        <v>25</v>
      </c>
      <c r="G150" s="149">
        <f t="shared" si="27"/>
        <v>4.25</v>
      </c>
      <c r="H150" s="85">
        <f t="shared" si="28"/>
        <v>29.25</v>
      </c>
      <c r="I150" s="56">
        <f t="shared" si="0"/>
        <v>29.25</v>
      </c>
      <c r="J150" s="83"/>
      <c r="N150" s="66"/>
    </row>
    <row r="151" spans="1:14" s="21" customFormat="1" ht="15.75" x14ac:dyDescent="0.25">
      <c r="A151" s="53">
        <v>9</v>
      </c>
      <c r="B151" s="78" t="s">
        <v>1494</v>
      </c>
      <c r="C151" s="53" t="s">
        <v>1506</v>
      </c>
      <c r="D151" s="79">
        <v>1</v>
      </c>
      <c r="E151" s="56">
        <v>25</v>
      </c>
      <c r="F151" s="56">
        <f t="shared" si="24"/>
        <v>25</v>
      </c>
      <c r="G151" s="149">
        <f t="shared" si="27"/>
        <v>4.25</v>
      </c>
      <c r="H151" s="85">
        <f t="shared" si="28"/>
        <v>29.25</v>
      </c>
      <c r="I151" s="56">
        <f t="shared" si="0"/>
        <v>29.25</v>
      </c>
      <c r="J151" s="83"/>
      <c r="N151" s="66"/>
    </row>
    <row r="152" spans="1:14" s="21" customFormat="1" ht="15.75" x14ac:dyDescent="0.25">
      <c r="A152" s="53">
        <v>10</v>
      </c>
      <c r="B152" s="78" t="s">
        <v>1495</v>
      </c>
      <c r="C152" s="53" t="s">
        <v>1506</v>
      </c>
      <c r="D152" s="79">
        <v>2</v>
      </c>
      <c r="E152" s="56">
        <v>110</v>
      </c>
      <c r="F152" s="56">
        <f t="shared" si="24"/>
        <v>220</v>
      </c>
      <c r="G152" s="149">
        <f t="shared" si="27"/>
        <v>37.400000000000006</v>
      </c>
      <c r="H152" s="85">
        <f t="shared" si="28"/>
        <v>128.69999999999999</v>
      </c>
      <c r="I152" s="56">
        <f t="shared" si="0"/>
        <v>257.39999999999998</v>
      </c>
      <c r="J152" s="83"/>
      <c r="N152" s="66"/>
    </row>
    <row r="153" spans="1:14" s="21" customFormat="1" ht="15.75" x14ac:dyDescent="0.25">
      <c r="A153" s="53">
        <v>11</v>
      </c>
      <c r="B153" s="78" t="s">
        <v>1502</v>
      </c>
      <c r="C153" s="53" t="s">
        <v>1506</v>
      </c>
      <c r="D153" s="79">
        <v>1</v>
      </c>
      <c r="E153" s="56">
        <v>7</v>
      </c>
      <c r="F153" s="56">
        <f t="shared" si="24"/>
        <v>7</v>
      </c>
      <c r="G153" s="149">
        <f>F153*0</f>
        <v>0</v>
      </c>
      <c r="H153" s="85">
        <f>E153*1</f>
        <v>7</v>
      </c>
      <c r="I153" s="56">
        <f t="shared" si="0"/>
        <v>7</v>
      </c>
      <c r="J153" s="83"/>
      <c r="N153" s="66"/>
    </row>
    <row r="154" spans="1:14" s="21" customFormat="1" ht="15.75" x14ac:dyDescent="0.25">
      <c r="A154" s="53">
        <v>12</v>
      </c>
      <c r="B154" s="78" t="s">
        <v>1948</v>
      </c>
      <c r="C154" s="53" t="s">
        <v>1506</v>
      </c>
      <c r="D154" s="79">
        <v>2</v>
      </c>
      <c r="E154" s="56">
        <v>38</v>
      </c>
      <c r="F154" s="56">
        <f t="shared" si="24"/>
        <v>76</v>
      </c>
      <c r="G154" s="149">
        <f t="shared" si="27"/>
        <v>12.920000000000002</v>
      </c>
      <c r="H154" s="85">
        <f t="shared" si="28"/>
        <v>44.459999999999994</v>
      </c>
      <c r="I154" s="56">
        <f t="shared" si="0"/>
        <v>88.919999999999987</v>
      </c>
      <c r="J154" s="83"/>
      <c r="N154" s="66"/>
    </row>
    <row r="155" spans="1:14" s="21" customFormat="1" ht="15.75" x14ac:dyDescent="0.25">
      <c r="A155" s="53">
        <v>13</v>
      </c>
      <c r="B155" s="78" t="s">
        <v>1536</v>
      </c>
      <c r="C155" s="53" t="s">
        <v>1506</v>
      </c>
      <c r="D155" s="79">
        <v>2</v>
      </c>
      <c r="E155" s="56">
        <v>25</v>
      </c>
      <c r="F155" s="56">
        <f t="shared" si="24"/>
        <v>50</v>
      </c>
      <c r="G155" s="149">
        <f t="shared" si="27"/>
        <v>8.5</v>
      </c>
      <c r="H155" s="85">
        <f t="shared" si="28"/>
        <v>29.25</v>
      </c>
      <c r="I155" s="56">
        <f t="shared" si="0"/>
        <v>58.5</v>
      </c>
      <c r="J155" s="83"/>
      <c r="N155" s="66"/>
    </row>
    <row r="156" spans="1:14" s="21" customFormat="1" ht="15.75" x14ac:dyDescent="0.25">
      <c r="A156" s="53">
        <v>14</v>
      </c>
      <c r="B156" s="78" t="s">
        <v>1544</v>
      </c>
      <c r="C156" s="53" t="s">
        <v>1506</v>
      </c>
      <c r="D156" s="79">
        <v>1</v>
      </c>
      <c r="E156" s="56">
        <v>100</v>
      </c>
      <c r="F156" s="56">
        <f t="shared" si="24"/>
        <v>100</v>
      </c>
      <c r="G156" s="149">
        <f t="shared" si="27"/>
        <v>17</v>
      </c>
      <c r="H156" s="85">
        <f t="shared" si="28"/>
        <v>117</v>
      </c>
      <c r="I156" s="56">
        <f t="shared" si="0"/>
        <v>117</v>
      </c>
      <c r="J156" s="83"/>
      <c r="N156" s="66"/>
    </row>
    <row r="157" spans="1:14" s="21" customFormat="1" ht="15.75" x14ac:dyDescent="0.25">
      <c r="A157" s="53">
        <v>15</v>
      </c>
      <c r="B157" s="78" t="s">
        <v>1504</v>
      </c>
      <c r="C157" s="53" t="s">
        <v>1506</v>
      </c>
      <c r="D157" s="79">
        <v>1</v>
      </c>
      <c r="E157" s="56">
        <v>20</v>
      </c>
      <c r="F157" s="56">
        <f t="shared" si="24"/>
        <v>20</v>
      </c>
      <c r="G157" s="149">
        <f t="shared" si="27"/>
        <v>3.4000000000000004</v>
      </c>
      <c r="H157" s="85">
        <f t="shared" si="28"/>
        <v>23.4</v>
      </c>
      <c r="I157" s="56">
        <f t="shared" si="0"/>
        <v>23.4</v>
      </c>
      <c r="J157" s="83"/>
      <c r="N157" s="66"/>
    </row>
    <row r="158" spans="1:14" s="21" customFormat="1" ht="25.5" x14ac:dyDescent="0.25">
      <c r="A158" s="53">
        <v>16</v>
      </c>
      <c r="B158" s="78" t="s">
        <v>1539</v>
      </c>
      <c r="C158" s="53" t="s">
        <v>1506</v>
      </c>
      <c r="D158" s="79">
        <v>1</v>
      </c>
      <c r="E158" s="56">
        <v>125</v>
      </c>
      <c r="F158" s="56">
        <f t="shared" si="24"/>
        <v>125</v>
      </c>
      <c r="G158" s="149">
        <f t="shared" si="27"/>
        <v>21.25</v>
      </c>
      <c r="H158" s="85">
        <f t="shared" si="28"/>
        <v>146.25</v>
      </c>
      <c r="I158" s="56">
        <f t="shared" si="0"/>
        <v>146.25</v>
      </c>
      <c r="J158" s="83"/>
      <c r="N158" s="66"/>
    </row>
    <row r="159" spans="1:14" s="21" customFormat="1" ht="15.75" x14ac:dyDescent="0.25">
      <c r="A159" s="53">
        <v>17</v>
      </c>
      <c r="B159" s="78" t="s">
        <v>2242</v>
      </c>
      <c r="C159" s="53" t="s">
        <v>23</v>
      </c>
      <c r="D159" s="79">
        <v>1</v>
      </c>
      <c r="E159" s="56">
        <v>115</v>
      </c>
      <c r="F159" s="56">
        <f t="shared" si="24"/>
        <v>115</v>
      </c>
      <c r="G159" s="149">
        <f>F159*0</f>
        <v>0</v>
      </c>
      <c r="H159" s="85">
        <f>E159*1</f>
        <v>115</v>
      </c>
      <c r="I159" s="56">
        <f t="shared" si="0"/>
        <v>115</v>
      </c>
      <c r="J159" s="83"/>
      <c r="N159" s="66"/>
    </row>
    <row r="160" spans="1:14" s="21" customFormat="1" ht="15.75" x14ac:dyDescent="0.25">
      <c r="A160" s="53">
        <v>18</v>
      </c>
      <c r="B160" s="78" t="s">
        <v>1950</v>
      </c>
      <c r="C160" s="53" t="s">
        <v>23</v>
      </c>
      <c r="D160" s="79">
        <v>2</v>
      </c>
      <c r="E160" s="56">
        <v>110</v>
      </c>
      <c r="F160" s="56">
        <f t="shared" si="24"/>
        <v>220</v>
      </c>
      <c r="G160" s="149">
        <f t="shared" si="27"/>
        <v>37.400000000000006</v>
      </c>
      <c r="H160" s="85">
        <f t="shared" si="28"/>
        <v>128.69999999999999</v>
      </c>
      <c r="I160" s="56">
        <f t="shared" si="0"/>
        <v>257.39999999999998</v>
      </c>
      <c r="J160" s="83"/>
      <c r="N160" s="66"/>
    </row>
    <row r="161" spans="1:14" s="21" customFormat="1" ht="15.75" x14ac:dyDescent="0.25">
      <c r="A161" s="53">
        <v>19</v>
      </c>
      <c r="B161" s="78" t="s">
        <v>2246</v>
      </c>
      <c r="C161" s="53" t="s">
        <v>23</v>
      </c>
      <c r="D161" s="79">
        <v>1</v>
      </c>
      <c r="E161" s="56">
        <v>160</v>
      </c>
      <c r="F161" s="56">
        <f t="shared" si="24"/>
        <v>160</v>
      </c>
      <c r="G161" s="149">
        <f t="shared" si="27"/>
        <v>27.200000000000003</v>
      </c>
      <c r="H161" s="85">
        <f t="shared" si="28"/>
        <v>187.2</v>
      </c>
      <c r="I161" s="56">
        <f t="shared" si="0"/>
        <v>187.2</v>
      </c>
      <c r="J161" s="83"/>
      <c r="N161" s="66"/>
    </row>
    <row r="162" spans="1:14" s="21" customFormat="1" ht="15.75" x14ac:dyDescent="0.25">
      <c r="A162" s="53">
        <v>20</v>
      </c>
      <c r="B162" s="78" t="s">
        <v>2248</v>
      </c>
      <c r="C162" s="53" t="s">
        <v>23</v>
      </c>
      <c r="D162" s="79">
        <v>1</v>
      </c>
      <c r="E162" s="56">
        <v>210</v>
      </c>
      <c r="F162" s="56">
        <f t="shared" si="24"/>
        <v>210</v>
      </c>
      <c r="G162" s="149">
        <f t="shared" si="27"/>
        <v>35.700000000000003</v>
      </c>
      <c r="H162" s="85">
        <f t="shared" si="28"/>
        <v>245.7</v>
      </c>
      <c r="I162" s="56">
        <f t="shared" si="0"/>
        <v>245.7</v>
      </c>
      <c r="J162" s="83"/>
      <c r="N162" s="66"/>
    </row>
    <row r="163" spans="1:14" s="21" customFormat="1" ht="15.75" x14ac:dyDescent="0.25">
      <c r="A163" s="53">
        <v>21</v>
      </c>
      <c r="B163" s="78" t="s">
        <v>2249</v>
      </c>
      <c r="C163" s="53" t="s">
        <v>23</v>
      </c>
      <c r="D163" s="79">
        <v>1</v>
      </c>
      <c r="E163" s="56">
        <v>8</v>
      </c>
      <c r="F163" s="56">
        <f t="shared" si="24"/>
        <v>8</v>
      </c>
      <c r="G163" s="149">
        <f t="shared" ref="G163:G164" si="29">F163*0</f>
        <v>0</v>
      </c>
      <c r="H163" s="85">
        <f t="shared" ref="H163:H164" si="30">E163*1</f>
        <v>8</v>
      </c>
      <c r="I163" s="56">
        <f t="shared" si="0"/>
        <v>8</v>
      </c>
      <c r="J163" s="83"/>
      <c r="N163" s="66"/>
    </row>
    <row r="164" spans="1:14" s="21" customFormat="1" ht="15.75" x14ac:dyDescent="0.25">
      <c r="A164" s="53">
        <v>22</v>
      </c>
      <c r="B164" s="78" t="s">
        <v>2243</v>
      </c>
      <c r="C164" s="53" t="s">
        <v>23</v>
      </c>
      <c r="D164" s="79">
        <v>1</v>
      </c>
      <c r="E164" s="56">
        <v>65</v>
      </c>
      <c r="F164" s="56">
        <f t="shared" si="24"/>
        <v>65</v>
      </c>
      <c r="G164" s="149">
        <f t="shared" si="29"/>
        <v>0</v>
      </c>
      <c r="H164" s="85">
        <f t="shared" si="30"/>
        <v>65</v>
      </c>
      <c r="I164" s="56">
        <f t="shared" si="0"/>
        <v>65</v>
      </c>
      <c r="J164" s="83"/>
      <c r="N164" s="66"/>
    </row>
    <row r="165" spans="1:14" s="21" customFormat="1" ht="25.5" x14ac:dyDescent="0.25">
      <c r="A165" s="53">
        <v>1</v>
      </c>
      <c r="B165" s="78" t="s">
        <v>1514</v>
      </c>
      <c r="C165" s="53" t="s">
        <v>1505</v>
      </c>
      <c r="D165" s="79">
        <v>1</v>
      </c>
      <c r="E165" s="56">
        <v>35</v>
      </c>
      <c r="F165" s="56">
        <f t="shared" si="24"/>
        <v>35</v>
      </c>
      <c r="G165" s="149">
        <f t="shared" si="27"/>
        <v>5.95</v>
      </c>
      <c r="H165" s="85">
        <f t="shared" si="28"/>
        <v>40.949999999999996</v>
      </c>
      <c r="I165" s="56">
        <f t="shared" si="0"/>
        <v>40.949999999999996</v>
      </c>
      <c r="J165" s="83"/>
      <c r="N165" s="66"/>
    </row>
    <row r="166" spans="1:14" s="21" customFormat="1" ht="15.75" x14ac:dyDescent="0.25">
      <c r="A166" s="53">
        <v>2</v>
      </c>
      <c r="B166" s="78" t="s">
        <v>1486</v>
      </c>
      <c r="C166" s="53" t="s">
        <v>1506</v>
      </c>
      <c r="D166" s="79">
        <v>2</v>
      </c>
      <c r="E166" s="56">
        <v>90</v>
      </c>
      <c r="F166" s="56">
        <f t="shared" si="24"/>
        <v>180</v>
      </c>
      <c r="G166" s="149">
        <f t="shared" si="27"/>
        <v>30.6</v>
      </c>
      <c r="H166" s="85">
        <f t="shared" si="28"/>
        <v>105.3</v>
      </c>
      <c r="I166" s="56">
        <f t="shared" si="0"/>
        <v>210.6</v>
      </c>
      <c r="J166" s="83"/>
      <c r="N166" s="66"/>
    </row>
    <row r="167" spans="1:14" s="21" customFormat="1" ht="15.75" x14ac:dyDescent="0.25">
      <c r="A167" s="53">
        <v>3</v>
      </c>
      <c r="B167" s="78" t="s">
        <v>1487</v>
      </c>
      <c r="C167" s="53" t="s">
        <v>1506</v>
      </c>
      <c r="D167" s="79">
        <v>1</v>
      </c>
      <c r="E167" s="56">
        <v>155</v>
      </c>
      <c r="F167" s="56">
        <f t="shared" si="24"/>
        <v>155</v>
      </c>
      <c r="G167" s="149">
        <f t="shared" si="27"/>
        <v>26.35</v>
      </c>
      <c r="H167" s="85">
        <f t="shared" si="28"/>
        <v>181.35</v>
      </c>
      <c r="I167" s="56">
        <f t="shared" si="0"/>
        <v>181.35</v>
      </c>
      <c r="J167" s="83"/>
      <c r="N167" s="66"/>
    </row>
    <row r="168" spans="1:14" s="21" customFormat="1" ht="25.5" x14ac:dyDescent="0.25">
      <c r="A168" s="53">
        <v>4</v>
      </c>
      <c r="B168" s="78" t="s">
        <v>1488</v>
      </c>
      <c r="C168" s="53" t="s">
        <v>1505</v>
      </c>
      <c r="D168" s="79">
        <v>2</v>
      </c>
      <c r="E168" s="56">
        <v>25</v>
      </c>
      <c r="F168" s="56">
        <f t="shared" si="24"/>
        <v>50</v>
      </c>
      <c r="G168" s="149">
        <f t="shared" ref="G168:G170" si="31">F168*0</f>
        <v>0</v>
      </c>
      <c r="H168" s="85">
        <f t="shared" ref="H168:H170" si="32">E168*1</f>
        <v>25</v>
      </c>
      <c r="I168" s="56">
        <f t="shared" si="0"/>
        <v>50</v>
      </c>
      <c r="J168" s="83"/>
      <c r="N168" s="66"/>
    </row>
    <row r="169" spans="1:14" s="21" customFormat="1" ht="25.5" x14ac:dyDescent="0.25">
      <c r="A169" s="53">
        <v>5</v>
      </c>
      <c r="B169" s="78" t="s">
        <v>1520</v>
      </c>
      <c r="C169" s="53" t="s">
        <v>1505</v>
      </c>
      <c r="D169" s="79">
        <v>2</v>
      </c>
      <c r="E169" s="56">
        <v>25</v>
      </c>
      <c r="F169" s="56">
        <f t="shared" si="24"/>
        <v>50</v>
      </c>
      <c r="G169" s="149">
        <f t="shared" si="31"/>
        <v>0</v>
      </c>
      <c r="H169" s="85">
        <f t="shared" si="32"/>
        <v>25</v>
      </c>
      <c r="I169" s="56">
        <f t="shared" si="0"/>
        <v>50</v>
      </c>
      <c r="J169" s="83"/>
      <c r="N169" s="66"/>
    </row>
    <row r="170" spans="1:14" s="21" customFormat="1" ht="25.5" x14ac:dyDescent="0.25">
      <c r="A170" s="53">
        <v>6</v>
      </c>
      <c r="B170" s="78" t="s">
        <v>1521</v>
      </c>
      <c r="C170" s="53" t="s">
        <v>1505</v>
      </c>
      <c r="D170" s="79">
        <v>2</v>
      </c>
      <c r="E170" s="56">
        <v>25</v>
      </c>
      <c r="F170" s="56">
        <f t="shared" si="24"/>
        <v>50</v>
      </c>
      <c r="G170" s="149">
        <f t="shared" si="31"/>
        <v>0</v>
      </c>
      <c r="H170" s="85">
        <f t="shared" si="32"/>
        <v>25</v>
      </c>
      <c r="I170" s="56">
        <f t="shared" si="0"/>
        <v>50</v>
      </c>
      <c r="J170" s="83"/>
      <c r="N170" s="66"/>
    </row>
    <row r="171" spans="1:14" s="21" customFormat="1" ht="15.75" x14ac:dyDescent="0.25">
      <c r="A171" s="53">
        <v>7</v>
      </c>
      <c r="B171" s="78" t="s">
        <v>1523</v>
      </c>
      <c r="C171" s="53" t="s">
        <v>1506</v>
      </c>
      <c r="D171" s="79">
        <v>2</v>
      </c>
      <c r="E171" s="56">
        <v>25</v>
      </c>
      <c r="F171" s="56">
        <f t="shared" si="24"/>
        <v>50</v>
      </c>
      <c r="G171" s="149">
        <f t="shared" si="27"/>
        <v>8.5</v>
      </c>
      <c r="H171" s="85">
        <f t="shared" si="28"/>
        <v>29.25</v>
      </c>
      <c r="I171" s="56">
        <f t="shared" si="0"/>
        <v>58.5</v>
      </c>
      <c r="J171" s="83"/>
      <c r="N171" s="66"/>
    </row>
    <row r="172" spans="1:14" s="21" customFormat="1" ht="15.75" x14ac:dyDescent="0.25">
      <c r="A172" s="53">
        <v>8</v>
      </c>
      <c r="B172" s="78" t="s">
        <v>1489</v>
      </c>
      <c r="C172" s="53" t="s">
        <v>1506</v>
      </c>
      <c r="D172" s="79">
        <v>2</v>
      </c>
      <c r="E172" s="56">
        <v>12</v>
      </c>
      <c r="F172" s="56">
        <f t="shared" si="24"/>
        <v>24</v>
      </c>
      <c r="G172" s="149">
        <f t="shared" si="27"/>
        <v>4.08</v>
      </c>
      <c r="H172" s="85">
        <f t="shared" si="28"/>
        <v>14.04</v>
      </c>
      <c r="I172" s="56">
        <f t="shared" si="0"/>
        <v>28.08</v>
      </c>
      <c r="J172" s="83"/>
      <c r="N172" s="66"/>
    </row>
    <row r="173" spans="1:14" s="21" customFormat="1" ht="15.75" x14ac:dyDescent="0.25">
      <c r="A173" s="53">
        <v>9</v>
      </c>
      <c r="B173" s="78" t="s">
        <v>1527</v>
      </c>
      <c r="C173" s="53" t="s">
        <v>23</v>
      </c>
      <c r="D173" s="79">
        <v>1</v>
      </c>
      <c r="E173" s="56">
        <v>28</v>
      </c>
      <c r="F173" s="56">
        <f t="shared" si="24"/>
        <v>28</v>
      </c>
      <c r="G173" s="149">
        <f t="shared" si="27"/>
        <v>4.7600000000000007</v>
      </c>
      <c r="H173" s="85">
        <f t="shared" si="28"/>
        <v>32.76</v>
      </c>
      <c r="I173" s="56">
        <f t="shared" si="0"/>
        <v>32.76</v>
      </c>
      <c r="J173" s="83"/>
      <c r="N173" s="66"/>
    </row>
    <row r="174" spans="1:14" s="21" customFormat="1" ht="15.75" x14ac:dyDescent="0.25">
      <c r="A174" s="53">
        <v>10</v>
      </c>
      <c r="B174" s="78" t="s">
        <v>1528</v>
      </c>
      <c r="C174" s="53" t="s">
        <v>23</v>
      </c>
      <c r="D174" s="79">
        <v>2</v>
      </c>
      <c r="E174" s="56">
        <v>100</v>
      </c>
      <c r="F174" s="56">
        <f t="shared" si="24"/>
        <v>200</v>
      </c>
      <c r="G174" s="149">
        <f t="shared" si="27"/>
        <v>34</v>
      </c>
      <c r="H174" s="85">
        <f t="shared" si="28"/>
        <v>117</v>
      </c>
      <c r="I174" s="56">
        <f t="shared" si="0"/>
        <v>234</v>
      </c>
      <c r="J174" s="83"/>
      <c r="N174" s="66"/>
    </row>
    <row r="175" spans="1:14" s="21" customFormat="1" ht="15.75" x14ac:dyDescent="0.25">
      <c r="A175" s="53">
        <v>11</v>
      </c>
      <c r="B175" s="78" t="s">
        <v>1538</v>
      </c>
      <c r="C175" s="53" t="s">
        <v>23</v>
      </c>
      <c r="D175" s="79">
        <v>2</v>
      </c>
      <c r="E175" s="56">
        <v>340</v>
      </c>
      <c r="F175" s="56">
        <f t="shared" si="24"/>
        <v>680</v>
      </c>
      <c r="G175" s="149">
        <f t="shared" si="27"/>
        <v>115.60000000000001</v>
      </c>
      <c r="H175" s="85">
        <f t="shared" si="28"/>
        <v>397.79999999999995</v>
      </c>
      <c r="I175" s="56">
        <f t="shared" si="0"/>
        <v>795.59999999999991</v>
      </c>
      <c r="J175" s="83"/>
      <c r="N175" s="66"/>
    </row>
    <row r="176" spans="1:14" s="21" customFormat="1" ht="15.75" x14ac:dyDescent="0.25">
      <c r="A176" s="53">
        <v>12</v>
      </c>
      <c r="B176" s="78" t="s">
        <v>1501</v>
      </c>
      <c r="C176" s="53" t="s">
        <v>1506</v>
      </c>
      <c r="D176" s="79">
        <v>2</v>
      </c>
      <c r="E176" s="56">
        <v>28</v>
      </c>
      <c r="F176" s="56">
        <f t="shared" si="24"/>
        <v>56</v>
      </c>
      <c r="G176" s="149">
        <f>F176*0</f>
        <v>0</v>
      </c>
      <c r="H176" s="85">
        <f>E176*1</f>
        <v>28</v>
      </c>
      <c r="I176" s="56">
        <f t="shared" si="0"/>
        <v>56</v>
      </c>
      <c r="J176" s="83"/>
      <c r="N176" s="66"/>
    </row>
    <row r="177" spans="1:14" s="21" customFormat="1" ht="25.5" x14ac:dyDescent="0.25">
      <c r="A177" s="53">
        <v>13</v>
      </c>
      <c r="B177" s="78" t="s">
        <v>1518</v>
      </c>
      <c r="C177" s="53" t="s">
        <v>1505</v>
      </c>
      <c r="D177" s="79">
        <v>2</v>
      </c>
      <c r="E177" s="56">
        <v>25</v>
      </c>
      <c r="F177" s="56">
        <f t="shared" si="24"/>
        <v>50</v>
      </c>
      <c r="G177" s="149">
        <f t="shared" si="27"/>
        <v>8.5</v>
      </c>
      <c r="H177" s="85">
        <f t="shared" si="28"/>
        <v>29.25</v>
      </c>
      <c r="I177" s="56">
        <f t="shared" si="0"/>
        <v>58.5</v>
      </c>
      <c r="J177" s="83"/>
      <c r="N177" s="66"/>
    </row>
    <row r="178" spans="1:14" s="21" customFormat="1" ht="15.75" x14ac:dyDescent="0.25">
      <c r="A178" s="53">
        <v>14</v>
      </c>
      <c r="B178" s="78" t="s">
        <v>1494</v>
      </c>
      <c r="C178" s="53" t="s">
        <v>1506</v>
      </c>
      <c r="D178" s="79">
        <v>1</v>
      </c>
      <c r="E178" s="56">
        <v>25</v>
      </c>
      <c r="F178" s="56">
        <f t="shared" si="24"/>
        <v>25</v>
      </c>
      <c r="G178" s="149">
        <f t="shared" si="27"/>
        <v>4.25</v>
      </c>
      <c r="H178" s="85">
        <f t="shared" si="28"/>
        <v>29.25</v>
      </c>
      <c r="I178" s="56">
        <f t="shared" si="0"/>
        <v>29.25</v>
      </c>
      <c r="J178" s="83"/>
      <c r="N178" s="66"/>
    </row>
    <row r="179" spans="1:14" s="21" customFormat="1" ht="15.75" x14ac:dyDescent="0.25">
      <c r="A179" s="53">
        <v>15</v>
      </c>
      <c r="B179" s="78" t="s">
        <v>1495</v>
      </c>
      <c r="C179" s="53" t="s">
        <v>1506</v>
      </c>
      <c r="D179" s="79">
        <v>2</v>
      </c>
      <c r="E179" s="56">
        <v>110</v>
      </c>
      <c r="F179" s="56">
        <f t="shared" si="24"/>
        <v>220</v>
      </c>
      <c r="G179" s="149">
        <f t="shared" si="27"/>
        <v>37.400000000000006</v>
      </c>
      <c r="H179" s="85">
        <f t="shared" si="28"/>
        <v>128.69999999999999</v>
      </c>
      <c r="I179" s="56">
        <f t="shared" si="0"/>
        <v>257.39999999999998</v>
      </c>
      <c r="J179" s="83"/>
      <c r="N179" s="66"/>
    </row>
    <row r="180" spans="1:14" s="21" customFormat="1" ht="25.5" x14ac:dyDescent="0.25">
      <c r="A180" s="53">
        <v>16</v>
      </c>
      <c r="B180" s="78" t="s">
        <v>1496</v>
      </c>
      <c r="C180" s="53" t="s">
        <v>1506</v>
      </c>
      <c r="D180" s="79">
        <v>1</v>
      </c>
      <c r="E180" s="56">
        <v>30</v>
      </c>
      <c r="F180" s="56">
        <f t="shared" si="24"/>
        <v>30</v>
      </c>
      <c r="G180" s="149">
        <f t="shared" si="27"/>
        <v>5.1000000000000005</v>
      </c>
      <c r="H180" s="85">
        <f t="shared" si="28"/>
        <v>35.099999999999994</v>
      </c>
      <c r="I180" s="56">
        <f t="shared" si="0"/>
        <v>35.099999999999994</v>
      </c>
      <c r="J180" s="83"/>
      <c r="N180" s="66"/>
    </row>
    <row r="181" spans="1:14" s="21" customFormat="1" ht="15.75" x14ac:dyDescent="0.25">
      <c r="A181" s="53">
        <v>17</v>
      </c>
      <c r="B181" s="78" t="s">
        <v>1536</v>
      </c>
      <c r="C181" s="53" t="s">
        <v>1506</v>
      </c>
      <c r="D181" s="79">
        <v>1</v>
      </c>
      <c r="E181" s="56">
        <v>25</v>
      </c>
      <c r="F181" s="56">
        <f t="shared" si="24"/>
        <v>25</v>
      </c>
      <c r="G181" s="149">
        <f t="shared" si="27"/>
        <v>4.25</v>
      </c>
      <c r="H181" s="85">
        <f t="shared" si="28"/>
        <v>29.25</v>
      </c>
      <c r="I181" s="56">
        <f t="shared" si="0"/>
        <v>29.25</v>
      </c>
      <c r="J181" s="83"/>
      <c r="N181" s="66"/>
    </row>
    <row r="182" spans="1:14" s="21" customFormat="1" ht="15.75" x14ac:dyDescent="0.25">
      <c r="A182" s="53">
        <v>18</v>
      </c>
      <c r="B182" s="78" t="s">
        <v>2244</v>
      </c>
      <c r="C182" s="53" t="s">
        <v>1506</v>
      </c>
      <c r="D182" s="79">
        <v>1</v>
      </c>
      <c r="E182" s="56">
        <v>18</v>
      </c>
      <c r="F182" s="56">
        <f t="shared" si="24"/>
        <v>18</v>
      </c>
      <c r="G182" s="149">
        <f t="shared" si="27"/>
        <v>3.06</v>
      </c>
      <c r="H182" s="85">
        <f t="shared" si="28"/>
        <v>21.06</v>
      </c>
      <c r="I182" s="56">
        <f t="shared" si="0"/>
        <v>21.06</v>
      </c>
      <c r="J182" s="83"/>
      <c r="N182" s="66"/>
    </row>
    <row r="183" spans="1:14" s="21" customFormat="1" ht="15.75" x14ac:dyDescent="0.25">
      <c r="A183" s="53">
        <v>19</v>
      </c>
      <c r="B183" s="78" t="s">
        <v>1498</v>
      </c>
      <c r="C183" s="53" t="s">
        <v>1506</v>
      </c>
      <c r="D183" s="79">
        <v>1</v>
      </c>
      <c r="E183" s="56">
        <v>175</v>
      </c>
      <c r="F183" s="56">
        <f t="shared" si="24"/>
        <v>175</v>
      </c>
      <c r="G183" s="149">
        <f t="shared" si="27"/>
        <v>29.750000000000004</v>
      </c>
      <c r="H183" s="85">
        <f t="shared" si="28"/>
        <v>204.75</v>
      </c>
      <c r="I183" s="56">
        <f t="shared" si="0"/>
        <v>204.75</v>
      </c>
      <c r="J183" s="83"/>
      <c r="N183" s="66"/>
    </row>
    <row r="184" spans="1:14" s="21" customFormat="1" ht="15.75" x14ac:dyDescent="0.25">
      <c r="A184" s="53">
        <v>20</v>
      </c>
      <c r="B184" s="78" t="s">
        <v>1530</v>
      </c>
      <c r="C184" s="53" t="s">
        <v>1506</v>
      </c>
      <c r="D184" s="79">
        <v>1</v>
      </c>
      <c r="E184" s="56">
        <v>135</v>
      </c>
      <c r="F184" s="56">
        <f t="shared" si="24"/>
        <v>135</v>
      </c>
      <c r="G184" s="149">
        <f t="shared" si="27"/>
        <v>22.950000000000003</v>
      </c>
      <c r="H184" s="85">
        <f t="shared" si="28"/>
        <v>157.94999999999999</v>
      </c>
      <c r="I184" s="56">
        <f t="shared" si="0"/>
        <v>157.94999999999999</v>
      </c>
      <c r="J184" s="83"/>
      <c r="N184" s="66"/>
    </row>
    <row r="185" spans="1:14" s="21" customFormat="1" ht="15.75" x14ac:dyDescent="0.25">
      <c r="A185" s="53">
        <v>21</v>
      </c>
      <c r="B185" s="78" t="s">
        <v>1544</v>
      </c>
      <c r="C185" s="53" t="s">
        <v>1506</v>
      </c>
      <c r="D185" s="79">
        <v>1</v>
      </c>
      <c r="E185" s="56">
        <v>100</v>
      </c>
      <c r="F185" s="56">
        <f t="shared" si="24"/>
        <v>100</v>
      </c>
      <c r="G185" s="149">
        <f t="shared" si="27"/>
        <v>17</v>
      </c>
      <c r="H185" s="85">
        <f t="shared" si="28"/>
        <v>117</v>
      </c>
      <c r="I185" s="56">
        <f t="shared" si="0"/>
        <v>117</v>
      </c>
      <c r="J185" s="83"/>
      <c r="N185" s="66"/>
    </row>
    <row r="186" spans="1:14" s="21" customFormat="1" ht="15.75" x14ac:dyDescent="0.25">
      <c r="A186" s="53">
        <v>22</v>
      </c>
      <c r="B186" s="78" t="s">
        <v>1503</v>
      </c>
      <c r="C186" s="53" t="s">
        <v>1506</v>
      </c>
      <c r="D186" s="79">
        <v>1</v>
      </c>
      <c r="E186" s="56">
        <v>26</v>
      </c>
      <c r="F186" s="56">
        <f t="shared" si="24"/>
        <v>26</v>
      </c>
      <c r="G186" s="149">
        <f t="shared" si="27"/>
        <v>4.42</v>
      </c>
      <c r="H186" s="85">
        <f t="shared" si="28"/>
        <v>30.419999999999998</v>
      </c>
      <c r="I186" s="56">
        <f t="shared" si="0"/>
        <v>30.419999999999998</v>
      </c>
      <c r="J186" s="83"/>
      <c r="N186" s="66"/>
    </row>
    <row r="187" spans="1:14" s="21" customFormat="1" ht="15.75" x14ac:dyDescent="0.25">
      <c r="A187" s="53">
        <v>23</v>
      </c>
      <c r="B187" s="78" t="s">
        <v>1504</v>
      </c>
      <c r="C187" s="53" t="s">
        <v>1506</v>
      </c>
      <c r="D187" s="79">
        <v>2</v>
      </c>
      <c r="E187" s="56">
        <v>20</v>
      </c>
      <c r="F187" s="56">
        <f t="shared" si="24"/>
        <v>40</v>
      </c>
      <c r="G187" s="149">
        <f t="shared" si="27"/>
        <v>6.8000000000000007</v>
      </c>
      <c r="H187" s="85">
        <f t="shared" si="28"/>
        <v>23.4</v>
      </c>
      <c r="I187" s="56">
        <f t="shared" si="0"/>
        <v>46.8</v>
      </c>
      <c r="J187" s="83"/>
      <c r="N187" s="66"/>
    </row>
    <row r="188" spans="1:14" s="21" customFormat="1" ht="25.5" x14ac:dyDescent="0.25">
      <c r="A188" s="53">
        <v>24</v>
      </c>
      <c r="B188" s="78" t="s">
        <v>1539</v>
      </c>
      <c r="C188" s="53" t="s">
        <v>1506</v>
      </c>
      <c r="D188" s="79">
        <v>1</v>
      </c>
      <c r="E188" s="56">
        <v>125</v>
      </c>
      <c r="F188" s="56">
        <f t="shared" si="24"/>
        <v>125</v>
      </c>
      <c r="G188" s="149">
        <f t="shared" si="27"/>
        <v>21.25</v>
      </c>
      <c r="H188" s="85">
        <f t="shared" si="28"/>
        <v>146.25</v>
      </c>
      <c r="I188" s="56">
        <f t="shared" ref="I188:I229" si="33">H188*D188</f>
        <v>146.25</v>
      </c>
      <c r="J188" s="83"/>
      <c r="N188" s="66"/>
    </row>
    <row r="189" spans="1:14" s="21" customFormat="1" ht="15.75" x14ac:dyDescent="0.25">
      <c r="A189" s="53">
        <v>25</v>
      </c>
      <c r="B189" s="78" t="s">
        <v>1949</v>
      </c>
      <c r="C189" s="53" t="s">
        <v>76</v>
      </c>
      <c r="D189" s="79">
        <v>2</v>
      </c>
      <c r="E189" s="56">
        <v>75</v>
      </c>
      <c r="F189" s="56">
        <f t="shared" si="24"/>
        <v>150</v>
      </c>
      <c r="G189" s="149">
        <f>F189*0</f>
        <v>0</v>
      </c>
      <c r="H189" s="85">
        <f>E189*1</f>
        <v>75</v>
      </c>
      <c r="I189" s="56">
        <f t="shared" si="33"/>
        <v>150</v>
      </c>
      <c r="J189" s="83"/>
      <c r="N189" s="66"/>
    </row>
    <row r="190" spans="1:14" s="21" customFormat="1" ht="25.5" x14ac:dyDescent="0.25">
      <c r="A190" s="53">
        <v>26</v>
      </c>
      <c r="B190" s="78" t="s">
        <v>2247</v>
      </c>
      <c r="C190" s="53" t="s">
        <v>23</v>
      </c>
      <c r="D190" s="79">
        <v>2</v>
      </c>
      <c r="E190" s="56">
        <v>380</v>
      </c>
      <c r="F190" s="56">
        <f t="shared" ref="F190:F229" si="34">D190*E190</f>
        <v>760</v>
      </c>
      <c r="G190" s="149">
        <f t="shared" si="27"/>
        <v>129.20000000000002</v>
      </c>
      <c r="H190" s="85">
        <f t="shared" si="28"/>
        <v>444.59999999999997</v>
      </c>
      <c r="I190" s="56">
        <f t="shared" si="33"/>
        <v>889.19999999999993</v>
      </c>
      <c r="J190" s="83"/>
      <c r="N190" s="66"/>
    </row>
    <row r="191" spans="1:14" s="21" customFormat="1" ht="15.75" x14ac:dyDescent="0.25">
      <c r="A191" s="53">
        <v>27</v>
      </c>
      <c r="B191" s="78" t="s">
        <v>2243</v>
      </c>
      <c r="C191" s="53" t="s">
        <v>23</v>
      </c>
      <c r="D191" s="79">
        <v>2</v>
      </c>
      <c r="E191" s="56">
        <v>65</v>
      </c>
      <c r="F191" s="56">
        <f t="shared" si="34"/>
        <v>130</v>
      </c>
      <c r="G191" s="149">
        <f>F191*0</f>
        <v>0</v>
      </c>
      <c r="H191" s="85">
        <f>E191*1</f>
        <v>65</v>
      </c>
      <c r="I191" s="56">
        <f t="shared" si="33"/>
        <v>130</v>
      </c>
      <c r="J191" s="83"/>
      <c r="N191" s="66"/>
    </row>
    <row r="192" spans="1:14" s="21" customFormat="1" ht="15.75" x14ac:dyDescent="0.25">
      <c r="A192" s="53">
        <v>28</v>
      </c>
      <c r="B192" s="78" t="s">
        <v>1550</v>
      </c>
      <c r="C192" s="53" t="s">
        <v>166</v>
      </c>
      <c r="D192" s="79">
        <v>1</v>
      </c>
      <c r="E192" s="56">
        <v>85</v>
      </c>
      <c r="F192" s="56">
        <f t="shared" si="34"/>
        <v>85</v>
      </c>
      <c r="G192" s="149">
        <f t="shared" si="27"/>
        <v>14.450000000000001</v>
      </c>
      <c r="H192" s="85">
        <f t="shared" si="28"/>
        <v>99.449999999999989</v>
      </c>
      <c r="I192" s="56">
        <f t="shared" si="33"/>
        <v>99.449999999999989</v>
      </c>
      <c r="J192" s="83"/>
      <c r="N192" s="66"/>
    </row>
    <row r="193" spans="1:14" s="21" customFormat="1" ht="15.75" x14ac:dyDescent="0.25">
      <c r="A193" s="53">
        <v>1</v>
      </c>
      <c r="B193" s="78" t="s">
        <v>1486</v>
      </c>
      <c r="C193" s="53" t="s">
        <v>1506</v>
      </c>
      <c r="D193" s="79">
        <v>1</v>
      </c>
      <c r="E193" s="56">
        <v>90</v>
      </c>
      <c r="F193" s="56">
        <f t="shared" si="34"/>
        <v>90</v>
      </c>
      <c r="G193" s="149">
        <f t="shared" si="27"/>
        <v>15.3</v>
      </c>
      <c r="H193" s="85">
        <f t="shared" si="28"/>
        <v>105.3</v>
      </c>
      <c r="I193" s="56">
        <f t="shared" si="33"/>
        <v>105.3</v>
      </c>
      <c r="J193" s="83"/>
      <c r="N193" s="66"/>
    </row>
    <row r="194" spans="1:14" s="21" customFormat="1" ht="25.5" x14ac:dyDescent="0.25">
      <c r="A194" s="53">
        <v>2</v>
      </c>
      <c r="B194" s="78" t="s">
        <v>1517</v>
      </c>
      <c r="C194" s="53" t="s">
        <v>1506</v>
      </c>
      <c r="D194" s="79">
        <v>1</v>
      </c>
      <c r="E194" s="56">
        <v>250</v>
      </c>
      <c r="F194" s="56">
        <f t="shared" si="34"/>
        <v>250</v>
      </c>
      <c r="G194" s="149">
        <f t="shared" si="27"/>
        <v>42.5</v>
      </c>
      <c r="H194" s="85">
        <f t="shared" si="28"/>
        <v>292.5</v>
      </c>
      <c r="I194" s="56">
        <f t="shared" si="33"/>
        <v>292.5</v>
      </c>
      <c r="J194" s="83"/>
      <c r="N194" s="66"/>
    </row>
    <row r="195" spans="1:14" s="21" customFormat="1" ht="25.5" x14ac:dyDescent="0.25">
      <c r="A195" s="53">
        <v>3</v>
      </c>
      <c r="B195" s="78" t="s">
        <v>1488</v>
      </c>
      <c r="C195" s="53" t="s">
        <v>1505</v>
      </c>
      <c r="D195" s="79">
        <v>1</v>
      </c>
      <c r="E195" s="56">
        <v>25</v>
      </c>
      <c r="F195" s="56">
        <f t="shared" si="34"/>
        <v>25</v>
      </c>
      <c r="G195" s="149">
        <f t="shared" ref="G195:G196" si="35">F195*0</f>
        <v>0</v>
      </c>
      <c r="H195" s="85">
        <f t="shared" ref="H195:H196" si="36">E195*1</f>
        <v>25</v>
      </c>
      <c r="I195" s="56">
        <f t="shared" si="33"/>
        <v>25</v>
      </c>
      <c r="J195" s="83"/>
      <c r="N195" s="66"/>
    </row>
    <row r="196" spans="1:14" s="21" customFormat="1" ht="25.5" x14ac:dyDescent="0.25">
      <c r="A196" s="53">
        <v>4</v>
      </c>
      <c r="B196" s="78" t="s">
        <v>1513</v>
      </c>
      <c r="C196" s="53" t="s">
        <v>1505</v>
      </c>
      <c r="D196" s="79">
        <v>2</v>
      </c>
      <c r="E196" s="56">
        <v>75</v>
      </c>
      <c r="F196" s="56">
        <f t="shared" si="34"/>
        <v>150</v>
      </c>
      <c r="G196" s="149">
        <f t="shared" si="35"/>
        <v>0</v>
      </c>
      <c r="H196" s="85">
        <f t="shared" si="36"/>
        <v>75</v>
      </c>
      <c r="I196" s="56">
        <f t="shared" si="33"/>
        <v>150</v>
      </c>
      <c r="J196" s="83"/>
      <c r="N196" s="66"/>
    </row>
    <row r="197" spans="1:14" s="21" customFormat="1" ht="15.75" x14ac:dyDescent="0.25">
      <c r="A197" s="53">
        <v>5</v>
      </c>
      <c r="B197" s="78" t="s">
        <v>1527</v>
      </c>
      <c r="C197" s="53" t="s">
        <v>23</v>
      </c>
      <c r="D197" s="79">
        <v>1</v>
      </c>
      <c r="E197" s="56">
        <v>28</v>
      </c>
      <c r="F197" s="56">
        <f t="shared" si="34"/>
        <v>28</v>
      </c>
      <c r="G197" s="149">
        <f t="shared" si="27"/>
        <v>4.7600000000000007</v>
      </c>
      <c r="H197" s="85">
        <f t="shared" si="28"/>
        <v>32.76</v>
      </c>
      <c r="I197" s="56">
        <f t="shared" si="33"/>
        <v>32.76</v>
      </c>
      <c r="J197" s="83"/>
      <c r="N197" s="66"/>
    </row>
    <row r="198" spans="1:14" s="21" customFormat="1" ht="15.75" x14ac:dyDescent="0.25">
      <c r="A198" s="53">
        <v>6</v>
      </c>
      <c r="B198" s="78" t="s">
        <v>1493</v>
      </c>
      <c r="C198" s="53" t="s">
        <v>1506</v>
      </c>
      <c r="D198" s="79">
        <v>1</v>
      </c>
      <c r="E198" s="56">
        <v>180</v>
      </c>
      <c r="F198" s="56">
        <f t="shared" si="34"/>
        <v>180</v>
      </c>
      <c r="G198" s="149">
        <f t="shared" si="27"/>
        <v>30.6</v>
      </c>
      <c r="H198" s="85">
        <f t="shared" si="28"/>
        <v>210.6</v>
      </c>
      <c r="I198" s="56">
        <f t="shared" si="33"/>
        <v>210.6</v>
      </c>
      <c r="J198" s="83"/>
      <c r="N198" s="66"/>
    </row>
    <row r="199" spans="1:14" s="21" customFormat="1" ht="15.75" x14ac:dyDescent="0.25">
      <c r="A199" s="53">
        <v>7</v>
      </c>
      <c r="B199" s="78" t="s">
        <v>1536</v>
      </c>
      <c r="C199" s="53" t="s">
        <v>1506</v>
      </c>
      <c r="D199" s="79">
        <v>2</v>
      </c>
      <c r="E199" s="56">
        <v>25</v>
      </c>
      <c r="F199" s="56">
        <f t="shared" si="34"/>
        <v>50</v>
      </c>
      <c r="G199" s="149">
        <f t="shared" si="27"/>
        <v>8.5</v>
      </c>
      <c r="H199" s="85">
        <f t="shared" si="28"/>
        <v>29.25</v>
      </c>
      <c r="I199" s="56">
        <f t="shared" si="33"/>
        <v>58.5</v>
      </c>
      <c r="J199" s="83"/>
      <c r="N199" s="66"/>
    </row>
    <row r="200" spans="1:14" s="21" customFormat="1" ht="15.75" x14ac:dyDescent="0.25">
      <c r="A200" s="53">
        <v>8</v>
      </c>
      <c r="B200" s="78" t="s">
        <v>1497</v>
      </c>
      <c r="C200" s="53" t="s">
        <v>1506</v>
      </c>
      <c r="D200" s="79">
        <v>1</v>
      </c>
      <c r="E200" s="56">
        <v>28</v>
      </c>
      <c r="F200" s="56">
        <f t="shared" si="34"/>
        <v>28</v>
      </c>
      <c r="G200" s="149">
        <f t="shared" si="27"/>
        <v>4.7600000000000007</v>
      </c>
      <c r="H200" s="85">
        <f t="shared" si="28"/>
        <v>32.76</v>
      </c>
      <c r="I200" s="56">
        <f t="shared" si="33"/>
        <v>32.76</v>
      </c>
      <c r="J200" s="83"/>
      <c r="N200" s="66"/>
    </row>
    <row r="201" spans="1:14" s="21" customFormat="1" ht="15.75" x14ac:dyDescent="0.25">
      <c r="A201" s="53">
        <v>9</v>
      </c>
      <c r="B201" s="78" t="s">
        <v>1498</v>
      </c>
      <c r="C201" s="53" t="s">
        <v>1506</v>
      </c>
      <c r="D201" s="79">
        <v>1</v>
      </c>
      <c r="E201" s="56">
        <v>175</v>
      </c>
      <c r="F201" s="56">
        <f t="shared" si="34"/>
        <v>175</v>
      </c>
      <c r="G201" s="149">
        <f t="shared" si="27"/>
        <v>29.750000000000004</v>
      </c>
      <c r="H201" s="85">
        <f t="shared" si="28"/>
        <v>204.75</v>
      </c>
      <c r="I201" s="56">
        <f t="shared" si="33"/>
        <v>204.75</v>
      </c>
      <c r="J201" s="83"/>
      <c r="N201" s="66"/>
    </row>
    <row r="202" spans="1:14" s="21" customFormat="1" ht="15.75" x14ac:dyDescent="0.25">
      <c r="A202" s="53">
        <v>10</v>
      </c>
      <c r="B202" s="78" t="s">
        <v>1544</v>
      </c>
      <c r="C202" s="53" t="s">
        <v>1506</v>
      </c>
      <c r="D202" s="79">
        <v>1</v>
      </c>
      <c r="E202" s="56">
        <v>100</v>
      </c>
      <c r="F202" s="56">
        <f t="shared" si="34"/>
        <v>100</v>
      </c>
      <c r="G202" s="149">
        <f t="shared" si="27"/>
        <v>17</v>
      </c>
      <c r="H202" s="85">
        <f t="shared" si="28"/>
        <v>117</v>
      </c>
      <c r="I202" s="56">
        <f t="shared" si="33"/>
        <v>117</v>
      </c>
      <c r="J202" s="83"/>
      <c r="N202" s="66"/>
    </row>
    <row r="203" spans="1:14" s="21" customFormat="1" ht="15.75" x14ac:dyDescent="0.25">
      <c r="A203" s="53">
        <v>11</v>
      </c>
      <c r="B203" s="78" t="s">
        <v>1949</v>
      </c>
      <c r="C203" s="53" t="s">
        <v>76</v>
      </c>
      <c r="D203" s="79">
        <v>4</v>
      </c>
      <c r="E203" s="56">
        <v>75</v>
      </c>
      <c r="F203" s="56">
        <f t="shared" si="34"/>
        <v>300</v>
      </c>
      <c r="G203" s="149">
        <f t="shared" ref="G203:G204" si="37">F203*0</f>
        <v>0</v>
      </c>
      <c r="H203" s="85">
        <f t="shared" ref="H203:H204" si="38">E203*1</f>
        <v>75</v>
      </c>
      <c r="I203" s="56">
        <f t="shared" si="33"/>
        <v>300</v>
      </c>
      <c r="J203" s="83"/>
      <c r="N203" s="66"/>
    </row>
    <row r="204" spans="1:14" s="21" customFormat="1" ht="15.75" x14ac:dyDescent="0.25">
      <c r="A204" s="53">
        <v>1</v>
      </c>
      <c r="B204" s="78" t="s">
        <v>1519</v>
      </c>
      <c r="C204" s="53" t="s">
        <v>1506</v>
      </c>
      <c r="D204" s="79">
        <v>1</v>
      </c>
      <c r="E204" s="56">
        <v>32</v>
      </c>
      <c r="F204" s="56">
        <f t="shared" si="34"/>
        <v>32</v>
      </c>
      <c r="G204" s="149">
        <f t="shared" si="37"/>
        <v>0</v>
      </c>
      <c r="H204" s="85">
        <f t="shared" si="38"/>
        <v>32</v>
      </c>
      <c r="I204" s="56">
        <f t="shared" si="33"/>
        <v>32</v>
      </c>
      <c r="J204" s="83"/>
      <c r="N204" s="66"/>
    </row>
    <row r="205" spans="1:14" s="21" customFormat="1" ht="15.75" x14ac:dyDescent="0.25">
      <c r="A205" s="53">
        <v>2</v>
      </c>
      <c r="B205" s="78" t="s">
        <v>1487</v>
      </c>
      <c r="C205" s="53" t="s">
        <v>1506</v>
      </c>
      <c r="D205" s="79">
        <v>1</v>
      </c>
      <c r="E205" s="56">
        <v>155</v>
      </c>
      <c r="F205" s="56">
        <f t="shared" si="34"/>
        <v>155</v>
      </c>
      <c r="G205" s="149">
        <f t="shared" si="27"/>
        <v>26.35</v>
      </c>
      <c r="H205" s="85">
        <f t="shared" si="28"/>
        <v>181.35</v>
      </c>
      <c r="I205" s="56">
        <f t="shared" si="33"/>
        <v>181.35</v>
      </c>
      <c r="J205" s="83"/>
      <c r="N205" s="66"/>
    </row>
    <row r="206" spans="1:14" s="21" customFormat="1" ht="25.5" x14ac:dyDescent="0.25">
      <c r="A206" s="53">
        <v>3</v>
      </c>
      <c r="B206" s="78" t="s">
        <v>1488</v>
      </c>
      <c r="C206" s="53" t="s">
        <v>1505</v>
      </c>
      <c r="D206" s="79">
        <v>2</v>
      </c>
      <c r="E206" s="56">
        <v>25</v>
      </c>
      <c r="F206" s="56">
        <f t="shared" si="34"/>
        <v>50</v>
      </c>
      <c r="G206" s="149">
        <f t="shared" ref="G206:G207" si="39">F206*0</f>
        <v>0</v>
      </c>
      <c r="H206" s="85">
        <f t="shared" ref="H206:H207" si="40">E206*1</f>
        <v>25</v>
      </c>
      <c r="I206" s="56">
        <f t="shared" si="33"/>
        <v>50</v>
      </c>
      <c r="J206" s="83"/>
      <c r="N206" s="66"/>
    </row>
    <row r="207" spans="1:14" s="21" customFormat="1" ht="25.5" x14ac:dyDescent="0.25">
      <c r="A207" s="53">
        <v>4</v>
      </c>
      <c r="B207" s="78" t="s">
        <v>1513</v>
      </c>
      <c r="C207" s="53" t="s">
        <v>1505</v>
      </c>
      <c r="D207" s="79">
        <v>1</v>
      </c>
      <c r="E207" s="56">
        <v>75</v>
      </c>
      <c r="F207" s="56">
        <f t="shared" si="34"/>
        <v>75</v>
      </c>
      <c r="G207" s="149">
        <f t="shared" si="39"/>
        <v>0</v>
      </c>
      <c r="H207" s="85">
        <f t="shared" si="40"/>
        <v>75</v>
      </c>
      <c r="I207" s="56">
        <f t="shared" si="33"/>
        <v>75</v>
      </c>
      <c r="J207" s="83"/>
      <c r="N207" s="66"/>
    </row>
    <row r="208" spans="1:14" s="21" customFormat="1" ht="15.75" x14ac:dyDescent="0.25">
      <c r="A208" s="53">
        <v>5</v>
      </c>
      <c r="B208" s="78" t="s">
        <v>1527</v>
      </c>
      <c r="C208" s="53" t="s">
        <v>23</v>
      </c>
      <c r="D208" s="79">
        <v>1</v>
      </c>
      <c r="E208" s="56">
        <v>28</v>
      </c>
      <c r="F208" s="56">
        <f t="shared" si="34"/>
        <v>28</v>
      </c>
      <c r="G208" s="149">
        <f t="shared" si="27"/>
        <v>4.7600000000000007</v>
      </c>
      <c r="H208" s="85">
        <f t="shared" si="28"/>
        <v>32.76</v>
      </c>
      <c r="I208" s="56">
        <f t="shared" si="33"/>
        <v>32.76</v>
      </c>
      <c r="J208" s="83"/>
      <c r="N208" s="66"/>
    </row>
    <row r="209" spans="1:14" s="21" customFormat="1" ht="25.5" x14ac:dyDescent="0.25">
      <c r="A209" s="53">
        <v>6</v>
      </c>
      <c r="B209" s="78" t="s">
        <v>1490</v>
      </c>
      <c r="C209" s="53" t="s">
        <v>1505</v>
      </c>
      <c r="D209" s="79">
        <v>1</v>
      </c>
      <c r="E209" s="56">
        <v>40</v>
      </c>
      <c r="F209" s="56">
        <f t="shared" si="34"/>
        <v>40</v>
      </c>
      <c r="G209" s="149">
        <f t="shared" si="27"/>
        <v>6.8000000000000007</v>
      </c>
      <c r="H209" s="85">
        <f t="shared" si="28"/>
        <v>46.8</v>
      </c>
      <c r="I209" s="56">
        <f t="shared" si="33"/>
        <v>46.8</v>
      </c>
      <c r="J209" s="83"/>
      <c r="N209" s="66"/>
    </row>
    <row r="210" spans="1:14" s="21" customFormat="1" ht="15.75" x14ac:dyDescent="0.25">
      <c r="A210" s="53">
        <v>7</v>
      </c>
      <c r="B210" s="78" t="s">
        <v>1528</v>
      </c>
      <c r="C210" s="53" t="s">
        <v>23</v>
      </c>
      <c r="D210" s="79">
        <v>1</v>
      </c>
      <c r="E210" s="56">
        <v>100</v>
      </c>
      <c r="F210" s="56">
        <f t="shared" si="34"/>
        <v>100</v>
      </c>
      <c r="G210" s="149">
        <f t="shared" ref="G210:G229" si="41">F210*0.17</f>
        <v>17</v>
      </c>
      <c r="H210" s="85">
        <f t="shared" ref="H210:H218" si="42">E210*1.17</f>
        <v>117</v>
      </c>
      <c r="I210" s="56">
        <f t="shared" si="33"/>
        <v>117</v>
      </c>
      <c r="J210" s="83"/>
      <c r="N210" s="66"/>
    </row>
    <row r="211" spans="1:14" s="21" customFormat="1" ht="15.75" x14ac:dyDescent="0.25">
      <c r="A211" s="53">
        <v>8</v>
      </c>
      <c r="B211" s="78" t="s">
        <v>1538</v>
      </c>
      <c r="C211" s="53" t="s">
        <v>23</v>
      </c>
      <c r="D211" s="79">
        <v>1</v>
      </c>
      <c r="E211" s="56">
        <v>340</v>
      </c>
      <c r="F211" s="56">
        <f t="shared" si="34"/>
        <v>340</v>
      </c>
      <c r="G211" s="149">
        <f t="shared" si="41"/>
        <v>57.800000000000004</v>
      </c>
      <c r="H211" s="85">
        <f t="shared" si="42"/>
        <v>397.79999999999995</v>
      </c>
      <c r="I211" s="56">
        <f t="shared" si="33"/>
        <v>397.79999999999995</v>
      </c>
      <c r="J211" s="83"/>
      <c r="N211" s="66"/>
    </row>
    <row r="212" spans="1:14" s="21" customFormat="1" ht="15.75" x14ac:dyDescent="0.25">
      <c r="A212" s="53">
        <v>9</v>
      </c>
      <c r="B212" s="78" t="s">
        <v>1536</v>
      </c>
      <c r="C212" s="53" t="s">
        <v>1506</v>
      </c>
      <c r="D212" s="79">
        <v>5</v>
      </c>
      <c r="E212" s="56">
        <v>25</v>
      </c>
      <c r="F212" s="56">
        <f t="shared" si="34"/>
        <v>125</v>
      </c>
      <c r="G212" s="149">
        <f t="shared" si="41"/>
        <v>21.25</v>
      </c>
      <c r="H212" s="85">
        <f t="shared" si="42"/>
        <v>29.25</v>
      </c>
      <c r="I212" s="56">
        <f t="shared" si="33"/>
        <v>146.25</v>
      </c>
      <c r="J212" s="83"/>
      <c r="N212" s="66"/>
    </row>
    <row r="213" spans="1:14" s="21" customFormat="1" ht="15.75" x14ac:dyDescent="0.25">
      <c r="A213" s="53">
        <v>10</v>
      </c>
      <c r="B213" s="78" t="s">
        <v>1497</v>
      </c>
      <c r="C213" s="53" t="s">
        <v>1506</v>
      </c>
      <c r="D213" s="79">
        <v>2</v>
      </c>
      <c r="E213" s="56">
        <v>28</v>
      </c>
      <c r="F213" s="56">
        <f t="shared" si="34"/>
        <v>56</v>
      </c>
      <c r="G213" s="149">
        <f t="shared" si="41"/>
        <v>9.5200000000000014</v>
      </c>
      <c r="H213" s="85">
        <f t="shared" si="42"/>
        <v>32.76</v>
      </c>
      <c r="I213" s="56">
        <f t="shared" si="33"/>
        <v>65.52</v>
      </c>
      <c r="J213" s="83"/>
      <c r="N213" s="66"/>
    </row>
    <row r="214" spans="1:14" s="21" customFormat="1" ht="15.75" x14ac:dyDescent="0.25">
      <c r="A214" s="53">
        <v>11</v>
      </c>
      <c r="B214" s="78" t="s">
        <v>1544</v>
      </c>
      <c r="C214" s="53" t="s">
        <v>1506</v>
      </c>
      <c r="D214" s="79">
        <v>1</v>
      </c>
      <c r="E214" s="56">
        <v>100</v>
      </c>
      <c r="F214" s="56">
        <f t="shared" si="34"/>
        <v>100</v>
      </c>
      <c r="G214" s="149">
        <f t="shared" si="41"/>
        <v>17</v>
      </c>
      <c r="H214" s="85">
        <f t="shared" si="42"/>
        <v>117</v>
      </c>
      <c r="I214" s="56">
        <f t="shared" si="33"/>
        <v>117</v>
      </c>
      <c r="J214" s="83"/>
      <c r="N214" s="66"/>
    </row>
    <row r="215" spans="1:14" s="21" customFormat="1" ht="15.75" x14ac:dyDescent="0.25">
      <c r="A215" s="53">
        <v>12</v>
      </c>
      <c r="B215" s="78" t="s">
        <v>1503</v>
      </c>
      <c r="C215" s="53" t="s">
        <v>1506</v>
      </c>
      <c r="D215" s="79">
        <v>1</v>
      </c>
      <c r="E215" s="56">
        <v>26</v>
      </c>
      <c r="F215" s="56">
        <f t="shared" si="34"/>
        <v>26</v>
      </c>
      <c r="G215" s="149">
        <f t="shared" si="41"/>
        <v>4.42</v>
      </c>
      <c r="H215" s="85">
        <f t="shared" si="42"/>
        <v>30.419999999999998</v>
      </c>
      <c r="I215" s="56">
        <f t="shared" si="33"/>
        <v>30.419999999999998</v>
      </c>
      <c r="J215" s="83"/>
      <c r="N215" s="66"/>
    </row>
    <row r="216" spans="1:14" s="21" customFormat="1" ht="15.75" x14ac:dyDescent="0.25">
      <c r="A216" s="53">
        <v>13</v>
      </c>
      <c r="B216" s="78" t="s">
        <v>1949</v>
      </c>
      <c r="C216" s="53" t="s">
        <v>76</v>
      </c>
      <c r="D216" s="79">
        <v>1</v>
      </c>
      <c r="E216" s="56">
        <v>75</v>
      </c>
      <c r="F216" s="56">
        <f t="shared" si="34"/>
        <v>75</v>
      </c>
      <c r="G216" s="149">
        <f t="shared" ref="G216:G217" si="43">F216*0</f>
        <v>0</v>
      </c>
      <c r="H216" s="85">
        <f t="shared" ref="H216:H217" si="44">E216*1</f>
        <v>75</v>
      </c>
      <c r="I216" s="56">
        <f t="shared" si="33"/>
        <v>75</v>
      </c>
      <c r="J216" s="83"/>
      <c r="N216" s="66"/>
    </row>
    <row r="217" spans="1:14" s="21" customFormat="1" ht="15.75" x14ac:dyDescent="0.25">
      <c r="A217" s="53">
        <v>14</v>
      </c>
      <c r="B217" s="78" t="s">
        <v>2242</v>
      </c>
      <c r="C217" s="53" t="s">
        <v>23</v>
      </c>
      <c r="D217" s="79">
        <v>12</v>
      </c>
      <c r="E217" s="56">
        <v>115</v>
      </c>
      <c r="F217" s="56">
        <f t="shared" si="34"/>
        <v>1380</v>
      </c>
      <c r="G217" s="149">
        <f t="shared" si="43"/>
        <v>0</v>
      </c>
      <c r="H217" s="85">
        <f t="shared" si="44"/>
        <v>115</v>
      </c>
      <c r="I217" s="56">
        <f t="shared" si="33"/>
        <v>1380</v>
      </c>
      <c r="J217" s="83"/>
      <c r="N217" s="66"/>
    </row>
    <row r="218" spans="1:14" s="21" customFormat="1" ht="15.75" x14ac:dyDescent="0.25">
      <c r="A218" s="53">
        <v>15</v>
      </c>
      <c r="B218" s="78" t="s">
        <v>2245</v>
      </c>
      <c r="C218" s="53" t="s">
        <v>23</v>
      </c>
      <c r="D218" s="79">
        <v>2</v>
      </c>
      <c r="E218" s="56">
        <v>25</v>
      </c>
      <c r="F218" s="56">
        <f t="shared" si="34"/>
        <v>50</v>
      </c>
      <c r="G218" s="149">
        <f t="shared" si="41"/>
        <v>8.5</v>
      </c>
      <c r="H218" s="85">
        <f t="shared" si="42"/>
        <v>29.25</v>
      </c>
      <c r="I218" s="56">
        <f t="shared" si="33"/>
        <v>58.5</v>
      </c>
      <c r="J218" s="83"/>
      <c r="N218" s="66"/>
    </row>
    <row r="219" spans="1:14" s="21" customFormat="1" ht="25.5" x14ac:dyDescent="0.25">
      <c r="A219" s="53">
        <v>1</v>
      </c>
      <c r="B219" s="78" t="s">
        <v>1513</v>
      </c>
      <c r="C219" s="53" t="s">
        <v>1505</v>
      </c>
      <c r="D219" s="79">
        <v>1</v>
      </c>
      <c r="E219" s="56">
        <v>75</v>
      </c>
      <c r="F219" s="56">
        <f t="shared" si="34"/>
        <v>75</v>
      </c>
      <c r="G219" s="149">
        <f>F219*0</f>
        <v>0</v>
      </c>
      <c r="H219" s="85">
        <f>E219*1</f>
        <v>75</v>
      </c>
      <c r="I219" s="56">
        <f t="shared" si="33"/>
        <v>75</v>
      </c>
      <c r="J219" s="83"/>
      <c r="N219" s="66"/>
    </row>
    <row r="220" spans="1:14" s="21" customFormat="1" ht="15.75" x14ac:dyDescent="0.25">
      <c r="A220" s="53">
        <v>2</v>
      </c>
      <c r="B220" s="78" t="s">
        <v>1495</v>
      </c>
      <c r="C220" s="53" t="s">
        <v>1506</v>
      </c>
      <c r="D220" s="79">
        <v>1</v>
      </c>
      <c r="E220" s="56">
        <v>110</v>
      </c>
      <c r="F220" s="56">
        <f t="shared" si="34"/>
        <v>110</v>
      </c>
      <c r="G220" s="149">
        <f t="shared" si="41"/>
        <v>18.700000000000003</v>
      </c>
      <c r="H220" s="85">
        <f t="shared" ref="H220:H229" si="45">E220*1.17</f>
        <v>128.69999999999999</v>
      </c>
      <c r="I220" s="56">
        <f t="shared" si="33"/>
        <v>128.69999999999999</v>
      </c>
      <c r="J220" s="83"/>
      <c r="N220" s="66"/>
    </row>
    <row r="221" spans="1:14" s="21" customFormat="1" ht="15.75" x14ac:dyDescent="0.25">
      <c r="A221" s="53">
        <v>3</v>
      </c>
      <c r="B221" s="78" t="s">
        <v>1497</v>
      </c>
      <c r="C221" s="53" t="s">
        <v>1506</v>
      </c>
      <c r="D221" s="79">
        <v>1</v>
      </c>
      <c r="E221" s="56">
        <v>28</v>
      </c>
      <c r="F221" s="56">
        <f t="shared" si="34"/>
        <v>28</v>
      </c>
      <c r="G221" s="149">
        <f t="shared" si="41"/>
        <v>4.7600000000000007</v>
      </c>
      <c r="H221" s="85">
        <f t="shared" si="45"/>
        <v>32.76</v>
      </c>
      <c r="I221" s="56">
        <f t="shared" si="33"/>
        <v>32.76</v>
      </c>
      <c r="J221" s="83"/>
      <c r="N221" s="66"/>
    </row>
    <row r="222" spans="1:14" s="21" customFormat="1" ht="15.75" x14ac:dyDescent="0.25">
      <c r="A222" s="53">
        <v>4</v>
      </c>
      <c r="B222" s="78" t="s">
        <v>2242</v>
      </c>
      <c r="C222" s="53" t="s">
        <v>23</v>
      </c>
      <c r="D222" s="79">
        <v>2</v>
      </c>
      <c r="E222" s="56">
        <v>115</v>
      </c>
      <c r="F222" s="56">
        <f t="shared" si="34"/>
        <v>230</v>
      </c>
      <c r="G222" s="149">
        <f t="shared" ref="G222:G228" si="46">F222*0</f>
        <v>0</v>
      </c>
      <c r="H222" s="85">
        <f t="shared" ref="H222:H228" si="47">E222*1</f>
        <v>115</v>
      </c>
      <c r="I222" s="56">
        <f t="shared" si="33"/>
        <v>230</v>
      </c>
      <c r="J222" s="83"/>
      <c r="N222" s="66"/>
    </row>
    <row r="223" spans="1:14" s="21" customFormat="1" ht="25.5" x14ac:dyDescent="0.25">
      <c r="A223" s="53">
        <v>1</v>
      </c>
      <c r="B223" s="78" t="s">
        <v>1488</v>
      </c>
      <c r="C223" s="53" t="s">
        <v>1505</v>
      </c>
      <c r="D223" s="79">
        <v>1</v>
      </c>
      <c r="E223" s="56">
        <v>25</v>
      </c>
      <c r="F223" s="56">
        <f t="shared" si="34"/>
        <v>25</v>
      </c>
      <c r="G223" s="149">
        <f t="shared" si="46"/>
        <v>0</v>
      </c>
      <c r="H223" s="85">
        <f t="shared" si="47"/>
        <v>25</v>
      </c>
      <c r="I223" s="56">
        <f t="shared" si="33"/>
        <v>25</v>
      </c>
      <c r="J223" s="83"/>
      <c r="N223" s="66"/>
    </row>
    <row r="224" spans="1:14" s="21" customFormat="1" ht="25.5" x14ac:dyDescent="0.25">
      <c r="A224" s="53">
        <v>2</v>
      </c>
      <c r="B224" s="78" t="s">
        <v>1520</v>
      </c>
      <c r="C224" s="53" t="s">
        <v>1505</v>
      </c>
      <c r="D224" s="79">
        <v>1</v>
      </c>
      <c r="E224" s="56">
        <v>25</v>
      </c>
      <c r="F224" s="56">
        <f t="shared" si="34"/>
        <v>25</v>
      </c>
      <c r="G224" s="149">
        <f t="shared" si="46"/>
        <v>0</v>
      </c>
      <c r="H224" s="85">
        <f t="shared" si="47"/>
        <v>25</v>
      </c>
      <c r="I224" s="56">
        <f t="shared" si="33"/>
        <v>25</v>
      </c>
      <c r="J224" s="83"/>
      <c r="N224" s="66"/>
    </row>
    <row r="225" spans="1:18" s="21" customFormat="1" ht="25.5" x14ac:dyDescent="0.25">
      <c r="A225" s="53">
        <v>3</v>
      </c>
      <c r="B225" s="78" t="s">
        <v>1521</v>
      </c>
      <c r="C225" s="53" t="s">
        <v>1505</v>
      </c>
      <c r="D225" s="79">
        <v>1</v>
      </c>
      <c r="E225" s="56">
        <v>25</v>
      </c>
      <c r="F225" s="56">
        <f t="shared" si="34"/>
        <v>25</v>
      </c>
      <c r="G225" s="149">
        <f t="shared" si="46"/>
        <v>0</v>
      </c>
      <c r="H225" s="85">
        <f t="shared" si="47"/>
        <v>25</v>
      </c>
      <c r="I225" s="56">
        <f t="shared" si="33"/>
        <v>25</v>
      </c>
      <c r="J225" s="83"/>
      <c r="N225" s="66"/>
    </row>
    <row r="226" spans="1:18" s="21" customFormat="1" ht="25.5" x14ac:dyDescent="0.25">
      <c r="A226" s="53">
        <v>4</v>
      </c>
      <c r="B226" s="78" t="s">
        <v>1513</v>
      </c>
      <c r="C226" s="53" t="s">
        <v>1505</v>
      </c>
      <c r="D226" s="79">
        <v>1</v>
      </c>
      <c r="E226" s="56">
        <v>75</v>
      </c>
      <c r="F226" s="56">
        <f t="shared" si="34"/>
        <v>75</v>
      </c>
      <c r="G226" s="149">
        <f t="shared" si="46"/>
        <v>0</v>
      </c>
      <c r="H226" s="85">
        <f t="shared" si="47"/>
        <v>75</v>
      </c>
      <c r="I226" s="56">
        <f t="shared" si="33"/>
        <v>75</v>
      </c>
      <c r="J226" s="83"/>
      <c r="N226" s="66"/>
    </row>
    <row r="227" spans="1:18" s="21" customFormat="1" ht="15.75" x14ac:dyDescent="0.25">
      <c r="A227" s="53">
        <v>5</v>
      </c>
      <c r="B227" s="78" t="s">
        <v>1949</v>
      </c>
      <c r="C227" s="53" t="s">
        <v>76</v>
      </c>
      <c r="D227" s="79">
        <v>5</v>
      </c>
      <c r="E227" s="56">
        <v>75</v>
      </c>
      <c r="F227" s="56">
        <f t="shared" si="34"/>
        <v>375</v>
      </c>
      <c r="G227" s="149">
        <f t="shared" si="46"/>
        <v>0</v>
      </c>
      <c r="H227" s="85">
        <f t="shared" si="47"/>
        <v>75</v>
      </c>
      <c r="I227" s="56">
        <f t="shared" si="33"/>
        <v>375</v>
      </c>
      <c r="J227" s="83"/>
      <c r="N227" s="66"/>
    </row>
    <row r="228" spans="1:18" s="21" customFormat="1" ht="15.75" x14ac:dyDescent="0.25">
      <c r="A228" s="53">
        <v>6</v>
      </c>
      <c r="B228" s="78" t="s">
        <v>2242</v>
      </c>
      <c r="C228" s="53" t="s">
        <v>23</v>
      </c>
      <c r="D228" s="79">
        <v>1</v>
      </c>
      <c r="E228" s="56">
        <v>115</v>
      </c>
      <c r="F228" s="56">
        <f t="shared" si="34"/>
        <v>115</v>
      </c>
      <c r="G228" s="149">
        <f t="shared" si="46"/>
        <v>0</v>
      </c>
      <c r="H228" s="85">
        <f t="shared" si="47"/>
        <v>115</v>
      </c>
      <c r="I228" s="56">
        <f t="shared" si="33"/>
        <v>115</v>
      </c>
      <c r="J228" s="83"/>
      <c r="N228" s="66"/>
    </row>
    <row r="229" spans="1:18" s="21" customFormat="1" ht="15.75" x14ac:dyDescent="0.25">
      <c r="A229" s="53">
        <v>7</v>
      </c>
      <c r="B229" s="78" t="s">
        <v>2246</v>
      </c>
      <c r="C229" s="53" t="s">
        <v>23</v>
      </c>
      <c r="D229" s="79">
        <v>1</v>
      </c>
      <c r="E229" s="56">
        <v>160</v>
      </c>
      <c r="F229" s="56">
        <f t="shared" si="34"/>
        <v>160</v>
      </c>
      <c r="G229" s="149">
        <f t="shared" si="41"/>
        <v>27.200000000000003</v>
      </c>
      <c r="H229" s="85">
        <f t="shared" si="45"/>
        <v>187.2</v>
      </c>
      <c r="I229" s="56">
        <f t="shared" si="33"/>
        <v>187.2</v>
      </c>
      <c r="J229" s="83"/>
      <c r="N229" s="66"/>
    </row>
    <row r="230" spans="1:18" s="21" customFormat="1" ht="15.75" x14ac:dyDescent="0.25">
      <c r="A230" s="53"/>
      <c r="B230" s="78"/>
      <c r="C230" s="53"/>
      <c r="D230" s="79"/>
      <c r="E230" s="56"/>
      <c r="F230" s="56"/>
      <c r="G230" s="149"/>
      <c r="H230" s="85"/>
      <c r="I230" s="56"/>
      <c r="J230" s="83"/>
      <c r="N230" s="66"/>
    </row>
    <row r="231" spans="1:18" ht="15.75" thickBot="1" x14ac:dyDescent="0.3">
      <c r="A231" s="33"/>
      <c r="B231" s="34" t="s">
        <v>24</v>
      </c>
      <c r="C231" s="35"/>
      <c r="D231" s="62">
        <f>SUM(D16:D230)</f>
        <v>882</v>
      </c>
      <c r="E231" s="35"/>
      <c r="F231" s="62">
        <f>SUM(F16:F230)</f>
        <v>106423</v>
      </c>
      <c r="G231" s="62">
        <f>SUM(G16:G230)</f>
        <v>16431.69000000001</v>
      </c>
      <c r="H231" s="35"/>
      <c r="I231" s="62">
        <f>SUM(I16:I230)</f>
        <v>122854.68999999997</v>
      </c>
      <c r="J231" s="37"/>
    </row>
    <row r="232" spans="1:18" ht="15.75" thickTop="1" x14ac:dyDescent="0.25">
      <c r="A232" s="33"/>
      <c r="B232" s="34" t="s">
        <v>2250</v>
      </c>
      <c r="C232" s="35"/>
      <c r="D232" s="35"/>
      <c r="E232" s="35"/>
      <c r="F232" s="35"/>
      <c r="G232" s="35"/>
      <c r="H232" s="35"/>
      <c r="I232" s="35"/>
      <c r="J232" s="37"/>
    </row>
    <row r="233" spans="1:18" x14ac:dyDescent="0.25">
      <c r="A233" s="33"/>
      <c r="B233" s="38" t="s">
        <v>25</v>
      </c>
      <c r="C233" s="35"/>
      <c r="D233" s="35"/>
      <c r="E233" s="35"/>
      <c r="F233" s="35"/>
      <c r="G233" s="35"/>
      <c r="H233" s="35"/>
      <c r="I233" s="35"/>
      <c r="J233" s="37"/>
      <c r="M233" s="64"/>
      <c r="O233" s="65"/>
      <c r="P233" s="64"/>
      <c r="Q233" s="64"/>
      <c r="R233" s="64"/>
    </row>
    <row r="234" spans="1:18" ht="30" customHeight="1" x14ac:dyDescent="0.25">
      <c r="B234" s="183" t="s">
        <v>26</v>
      </c>
      <c r="C234" s="183"/>
      <c r="D234" s="183"/>
      <c r="E234" s="183"/>
      <c r="F234" s="183"/>
      <c r="G234" s="183"/>
      <c r="H234" s="183"/>
      <c r="I234" s="183"/>
      <c r="J234" s="183"/>
      <c r="P234" s="64"/>
      <c r="R234" s="65"/>
    </row>
    <row r="235" spans="1:18" x14ac:dyDescent="0.25">
      <c r="B235" t="s">
        <v>634</v>
      </c>
    </row>
    <row r="238" spans="1:18" x14ac:dyDescent="0.25">
      <c r="B238" t="s">
        <v>28</v>
      </c>
      <c r="H238" t="s">
        <v>28</v>
      </c>
    </row>
    <row r="239" spans="1:18" x14ac:dyDescent="0.25">
      <c r="B239" t="s">
        <v>29</v>
      </c>
      <c r="H239" t="s">
        <v>30</v>
      </c>
    </row>
  </sheetData>
  <autoFilter ref="A15:J235" xr:uid="{00000000-0009-0000-0000-000000000000}"/>
  <mergeCells count="5">
    <mergeCell ref="A6:J6"/>
    <mergeCell ref="I7:J7"/>
    <mergeCell ref="I8:J8"/>
    <mergeCell ref="I9:J9"/>
    <mergeCell ref="B234:J234"/>
  </mergeCells>
  <hyperlinks>
    <hyperlink ref="H5" r:id="rId1" xr:uid="{075EB04B-CDCC-4E76-8131-B96C79BB7550}"/>
  </hyperlinks>
  <pageMargins left="0.2" right="0.1" top="0.25" bottom="0.25" header="0.3" footer="0.3"/>
  <pageSetup paperSize="9" orientation="portrait" r:id="rId2"/>
  <drawing r:id="rId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CAA79-3EA2-4252-80A9-66790C671F0E}">
  <dimension ref="A1:R32"/>
  <sheetViews>
    <sheetView topLeftCell="A7" workbookViewId="0">
      <selection activeCell="F19" activeCellId="1" sqref="F16:F17 F19:F2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1681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1683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1350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1343</v>
      </c>
      <c r="C16" s="53" t="s">
        <v>23</v>
      </c>
      <c r="D16" s="79">
        <v>36</v>
      </c>
      <c r="E16" s="56">
        <v>32</v>
      </c>
      <c r="F16" s="56">
        <f t="shared" ref="F16:F22" si="0">D16*E16</f>
        <v>1152</v>
      </c>
      <c r="G16" s="56">
        <f>F16*0.17</f>
        <v>195.84</v>
      </c>
      <c r="H16" s="74">
        <f>E16*1.17</f>
        <v>37.44</v>
      </c>
      <c r="I16" s="56">
        <f t="shared" ref="I16:I22" si="1">H16*D16</f>
        <v>1347.84</v>
      </c>
      <c r="J16" s="83"/>
      <c r="N16" s="66"/>
    </row>
    <row r="17" spans="1:18" s="21" customFormat="1" ht="15.75" x14ac:dyDescent="0.25">
      <c r="A17" s="53">
        <v>2</v>
      </c>
      <c r="B17" s="78" t="s">
        <v>1344</v>
      </c>
      <c r="C17" s="53" t="s">
        <v>23</v>
      </c>
      <c r="D17" s="79">
        <v>18</v>
      </c>
      <c r="E17" s="56">
        <v>300</v>
      </c>
      <c r="F17" s="56">
        <f t="shared" si="0"/>
        <v>5400</v>
      </c>
      <c r="G17" s="56">
        <f t="shared" ref="G17:G22" si="2">F17*0.17</f>
        <v>918.00000000000011</v>
      </c>
      <c r="H17" s="74">
        <f t="shared" ref="H17:H22" si="3">E17*1.17</f>
        <v>351</v>
      </c>
      <c r="I17" s="56">
        <f t="shared" si="1"/>
        <v>6318</v>
      </c>
      <c r="J17" s="83"/>
      <c r="N17" s="66"/>
    </row>
    <row r="18" spans="1:18" s="21" customFormat="1" ht="15.75" x14ac:dyDescent="0.25">
      <c r="A18" s="53">
        <v>3</v>
      </c>
      <c r="B18" s="78" t="s">
        <v>1345</v>
      </c>
      <c r="C18" s="53" t="s">
        <v>23</v>
      </c>
      <c r="D18" s="79">
        <v>190</v>
      </c>
      <c r="E18" s="56">
        <v>38</v>
      </c>
      <c r="F18" s="56">
        <f>D18*E18</f>
        <v>7220</v>
      </c>
      <c r="G18" s="56">
        <f>F18*0</f>
        <v>0</v>
      </c>
      <c r="H18" s="74">
        <f>E18*1</f>
        <v>38</v>
      </c>
      <c r="I18" s="56">
        <f t="shared" si="1"/>
        <v>7220</v>
      </c>
      <c r="J18" s="83"/>
      <c r="N18" s="66"/>
    </row>
    <row r="19" spans="1:18" s="21" customFormat="1" ht="15.75" x14ac:dyDescent="0.25">
      <c r="A19" s="53">
        <v>4</v>
      </c>
      <c r="B19" s="78" t="s">
        <v>1346</v>
      </c>
      <c r="C19" s="53" t="s">
        <v>23</v>
      </c>
      <c r="D19" s="79">
        <v>36</v>
      </c>
      <c r="E19" s="56">
        <v>28</v>
      </c>
      <c r="F19" s="56">
        <f>D19*E19</f>
        <v>1008</v>
      </c>
      <c r="G19" s="56">
        <f t="shared" si="2"/>
        <v>171.36</v>
      </c>
      <c r="H19" s="74">
        <f t="shared" si="3"/>
        <v>32.76</v>
      </c>
      <c r="I19" s="56">
        <f t="shared" si="1"/>
        <v>1179.3599999999999</v>
      </c>
      <c r="J19" s="83"/>
      <c r="N19" s="66"/>
    </row>
    <row r="20" spans="1:18" s="21" customFormat="1" ht="15.75" x14ac:dyDescent="0.25">
      <c r="A20" s="53">
        <v>5</v>
      </c>
      <c r="B20" s="78" t="s">
        <v>1347</v>
      </c>
      <c r="C20" s="53" t="s">
        <v>23</v>
      </c>
      <c r="D20" s="79">
        <v>24</v>
      </c>
      <c r="E20" s="56">
        <v>30</v>
      </c>
      <c r="F20" s="56">
        <f t="shared" si="0"/>
        <v>720</v>
      </c>
      <c r="G20" s="56">
        <f t="shared" si="2"/>
        <v>122.4</v>
      </c>
      <c r="H20" s="74">
        <f t="shared" si="3"/>
        <v>35.099999999999994</v>
      </c>
      <c r="I20" s="56">
        <f t="shared" si="1"/>
        <v>842.39999999999986</v>
      </c>
      <c r="J20" s="83"/>
      <c r="N20" s="66"/>
    </row>
    <row r="21" spans="1:18" s="21" customFormat="1" ht="15.75" x14ac:dyDescent="0.25">
      <c r="A21" s="53">
        <v>6</v>
      </c>
      <c r="B21" s="78" t="s">
        <v>1348</v>
      </c>
      <c r="C21" s="53" t="s">
        <v>23</v>
      </c>
      <c r="D21" s="79">
        <v>24</v>
      </c>
      <c r="E21" s="56">
        <v>80</v>
      </c>
      <c r="F21" s="56">
        <f t="shared" si="0"/>
        <v>1920</v>
      </c>
      <c r="G21" s="56">
        <f t="shared" si="2"/>
        <v>326.40000000000003</v>
      </c>
      <c r="H21" s="74">
        <f t="shared" si="3"/>
        <v>93.6</v>
      </c>
      <c r="I21" s="56">
        <f t="shared" si="1"/>
        <v>2246.3999999999996</v>
      </c>
      <c r="J21" s="83"/>
      <c r="N21" s="66"/>
    </row>
    <row r="22" spans="1:18" s="21" customFormat="1" ht="15.75" x14ac:dyDescent="0.25">
      <c r="A22" s="53">
        <v>7</v>
      </c>
      <c r="B22" s="78" t="s">
        <v>1339</v>
      </c>
      <c r="C22" s="53" t="s">
        <v>23</v>
      </c>
      <c r="D22" s="79">
        <v>96</v>
      </c>
      <c r="E22" s="56">
        <v>30</v>
      </c>
      <c r="F22" s="56">
        <f t="shared" si="0"/>
        <v>2880</v>
      </c>
      <c r="G22" s="56">
        <f t="shared" si="2"/>
        <v>489.6</v>
      </c>
      <c r="H22" s="74">
        <f t="shared" si="3"/>
        <v>35.099999999999994</v>
      </c>
      <c r="I22" s="56">
        <f t="shared" si="1"/>
        <v>3369.5999999999995</v>
      </c>
      <c r="J22" s="83"/>
      <c r="N22" s="66"/>
    </row>
    <row r="23" spans="1:18" s="21" customFormat="1" x14ac:dyDescent="0.25">
      <c r="A23" s="53"/>
      <c r="B23" s="47"/>
      <c r="C23" s="53"/>
      <c r="D23" s="79"/>
      <c r="E23" s="56"/>
      <c r="F23" s="56"/>
      <c r="G23" s="56"/>
      <c r="H23" s="57"/>
      <c r="I23" s="56"/>
      <c r="J23" s="58"/>
      <c r="N23" s="66"/>
    </row>
    <row r="24" spans="1:18" ht="15.75" thickBot="1" x14ac:dyDescent="0.3">
      <c r="A24" s="33"/>
      <c r="B24" s="34" t="s">
        <v>24</v>
      </c>
      <c r="C24" s="35"/>
      <c r="D24" s="62">
        <f>SUM(D16:D23)</f>
        <v>424</v>
      </c>
      <c r="E24" s="35"/>
      <c r="F24" s="62">
        <f>SUM(F16:F23)</f>
        <v>20300</v>
      </c>
      <c r="G24" s="62">
        <f>SUM(G16:G23)</f>
        <v>2223.6000000000004</v>
      </c>
      <c r="H24" s="35"/>
      <c r="I24" s="62">
        <f>SUM(I16:I23)</f>
        <v>22523.599999999999</v>
      </c>
      <c r="J24" s="37"/>
    </row>
    <row r="25" spans="1:18" ht="15.75" thickTop="1" x14ac:dyDescent="0.25">
      <c r="A25" s="33"/>
      <c r="B25" s="34" t="s">
        <v>1834</v>
      </c>
      <c r="C25" s="35"/>
      <c r="D25" s="35"/>
      <c r="E25" s="35"/>
      <c r="F25" s="35"/>
      <c r="G25" s="35"/>
      <c r="H25" s="35"/>
      <c r="I25" s="35"/>
      <c r="J25" s="37"/>
    </row>
    <row r="26" spans="1:18" x14ac:dyDescent="0.25">
      <c r="A26" s="33"/>
      <c r="B26" s="38" t="s">
        <v>25</v>
      </c>
      <c r="C26" s="35"/>
      <c r="D26" s="35"/>
      <c r="E26" s="35"/>
      <c r="F26" s="35"/>
      <c r="G26" s="35"/>
      <c r="H26" s="35"/>
      <c r="I26" s="35"/>
      <c r="J26" s="37"/>
      <c r="M26" s="64"/>
      <c r="O26" s="65"/>
      <c r="P26" s="64"/>
      <c r="Q26" s="64"/>
      <c r="R26" s="64"/>
    </row>
    <row r="27" spans="1:18" ht="30" customHeight="1" x14ac:dyDescent="0.25">
      <c r="B27" s="183" t="s">
        <v>26</v>
      </c>
      <c r="C27" s="183"/>
      <c r="D27" s="183"/>
      <c r="E27" s="183"/>
      <c r="F27" s="183"/>
      <c r="G27" s="183"/>
      <c r="H27" s="183"/>
      <c r="I27" s="183"/>
      <c r="J27" s="183"/>
      <c r="P27" s="64"/>
      <c r="R27" s="65"/>
    </row>
    <row r="28" spans="1:18" x14ac:dyDescent="0.25">
      <c r="B28" t="s">
        <v>634</v>
      </c>
    </row>
    <row r="31" spans="1:18" x14ac:dyDescent="0.25">
      <c r="B31" t="s">
        <v>28</v>
      </c>
      <c r="H31" t="s">
        <v>28</v>
      </c>
    </row>
    <row r="32" spans="1:18" x14ac:dyDescent="0.25">
      <c r="B32" t="s">
        <v>29</v>
      </c>
      <c r="H32" t="s">
        <v>30</v>
      </c>
    </row>
  </sheetData>
  <autoFilter ref="A15:J28" xr:uid="{00000000-0009-0000-0000-000000000000}"/>
  <mergeCells count="5">
    <mergeCell ref="A6:J6"/>
    <mergeCell ref="I7:J7"/>
    <mergeCell ref="I8:J8"/>
    <mergeCell ref="I9:J9"/>
    <mergeCell ref="B27:J27"/>
  </mergeCells>
  <hyperlinks>
    <hyperlink ref="H5" r:id="rId1" xr:uid="{97BC4450-4EDA-4C22-AFC1-37B2448B1E19}"/>
  </hyperlinks>
  <pageMargins left="0.2" right="0.1" top="0.25" bottom="0.25" header="0.3" footer="0.3"/>
  <pageSetup paperSize="9" orientation="portrait" r:id="rId2"/>
  <drawing r:id="rId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E6296-D4B8-4397-BAF4-43B78BFA8B52}">
  <dimension ref="A1:R33"/>
  <sheetViews>
    <sheetView topLeftCell="A7" workbookViewId="0">
      <selection activeCell="G23" sqref="G2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1681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1682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1341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44</v>
      </c>
      <c r="C16" s="53" t="s">
        <v>23</v>
      </c>
      <c r="D16" s="79">
        <v>18</v>
      </c>
      <c r="E16" s="56">
        <v>200</v>
      </c>
      <c r="F16" s="56">
        <f t="shared" ref="F16:F23" si="0">D16*E16</f>
        <v>3600</v>
      </c>
      <c r="G16" s="56">
        <f>F16*0.17</f>
        <v>612</v>
      </c>
      <c r="H16" s="74">
        <f>E16*1.17</f>
        <v>234</v>
      </c>
      <c r="I16" s="56">
        <f t="shared" ref="I16:I23" si="1">H16*D16</f>
        <v>4212</v>
      </c>
      <c r="J16" s="83"/>
      <c r="N16" s="66"/>
    </row>
    <row r="17" spans="1:18" s="21" customFormat="1" ht="15.75" x14ac:dyDescent="0.25">
      <c r="A17" s="53">
        <v>2</v>
      </c>
      <c r="B17" s="78" t="s">
        <v>1333</v>
      </c>
      <c r="C17" s="53" t="s">
        <v>23</v>
      </c>
      <c r="D17" s="79">
        <v>144</v>
      </c>
      <c r="E17" s="56">
        <v>6</v>
      </c>
      <c r="F17" s="56">
        <f t="shared" si="0"/>
        <v>864</v>
      </c>
      <c r="G17" s="56">
        <f t="shared" ref="G17:G23" si="2">F17*0.17</f>
        <v>146.88000000000002</v>
      </c>
      <c r="H17" s="74">
        <f t="shared" ref="H17:H23" si="3">E17*1.17</f>
        <v>7.02</v>
      </c>
      <c r="I17" s="56">
        <f t="shared" si="1"/>
        <v>1010.8799999999999</v>
      </c>
      <c r="J17" s="83"/>
      <c r="N17" s="66"/>
    </row>
    <row r="18" spans="1:18" s="21" customFormat="1" ht="15.75" x14ac:dyDescent="0.25">
      <c r="A18" s="53">
        <v>3</v>
      </c>
      <c r="B18" s="78" t="s">
        <v>1334</v>
      </c>
      <c r="C18" s="53" t="s">
        <v>76</v>
      </c>
      <c r="D18" s="79">
        <v>200</v>
      </c>
      <c r="E18" s="56">
        <v>45</v>
      </c>
      <c r="F18" s="56">
        <f t="shared" si="0"/>
        <v>9000</v>
      </c>
      <c r="G18" s="56">
        <f t="shared" si="2"/>
        <v>1530</v>
      </c>
      <c r="H18" s="74">
        <f t="shared" si="3"/>
        <v>52.65</v>
      </c>
      <c r="I18" s="56">
        <f t="shared" si="1"/>
        <v>10530</v>
      </c>
      <c r="J18" s="83"/>
      <c r="N18" s="66"/>
    </row>
    <row r="19" spans="1:18" s="21" customFormat="1" ht="15.75" x14ac:dyDescent="0.25">
      <c r="A19" s="53">
        <v>4</v>
      </c>
      <c r="B19" s="78" t="s">
        <v>1335</v>
      </c>
      <c r="C19" s="53" t="s">
        <v>23</v>
      </c>
      <c r="D19" s="79">
        <v>36</v>
      </c>
      <c r="E19" s="56">
        <v>130</v>
      </c>
      <c r="F19" s="56">
        <f t="shared" si="0"/>
        <v>4680</v>
      </c>
      <c r="G19" s="56">
        <f t="shared" si="2"/>
        <v>795.6</v>
      </c>
      <c r="H19" s="74">
        <f t="shared" si="3"/>
        <v>152.1</v>
      </c>
      <c r="I19" s="56">
        <f t="shared" si="1"/>
        <v>5475.5999999999995</v>
      </c>
      <c r="J19" s="83"/>
      <c r="N19" s="66"/>
    </row>
    <row r="20" spans="1:18" s="21" customFormat="1" ht="15.75" x14ac:dyDescent="0.25">
      <c r="A20" s="53">
        <v>5</v>
      </c>
      <c r="B20" s="78" t="s">
        <v>1336</v>
      </c>
      <c r="C20" s="53" t="s">
        <v>23</v>
      </c>
      <c r="D20" s="79">
        <v>2000</v>
      </c>
      <c r="E20" s="56">
        <v>3</v>
      </c>
      <c r="F20" s="56">
        <f t="shared" si="0"/>
        <v>6000</v>
      </c>
      <c r="G20" s="56">
        <f t="shared" si="2"/>
        <v>1020.0000000000001</v>
      </c>
      <c r="H20" s="74">
        <f t="shared" si="3"/>
        <v>3.51</v>
      </c>
      <c r="I20" s="56">
        <f t="shared" si="1"/>
        <v>7020</v>
      </c>
      <c r="J20" s="83"/>
      <c r="N20" s="66"/>
    </row>
    <row r="21" spans="1:18" s="21" customFormat="1" ht="15.75" x14ac:dyDescent="0.25">
      <c r="A21" s="53">
        <v>6</v>
      </c>
      <c r="B21" s="78" t="s">
        <v>1337</v>
      </c>
      <c r="C21" s="53" t="s">
        <v>23</v>
      </c>
      <c r="D21" s="79">
        <v>288</v>
      </c>
      <c r="E21" s="56">
        <v>30</v>
      </c>
      <c r="F21" s="56">
        <f t="shared" si="0"/>
        <v>8640</v>
      </c>
      <c r="G21" s="56">
        <f t="shared" si="2"/>
        <v>1468.8000000000002</v>
      </c>
      <c r="H21" s="74">
        <f t="shared" si="3"/>
        <v>35.099999999999994</v>
      </c>
      <c r="I21" s="56">
        <f t="shared" si="1"/>
        <v>10108.799999999999</v>
      </c>
      <c r="J21" s="83"/>
      <c r="N21" s="66"/>
    </row>
    <row r="22" spans="1:18" s="21" customFormat="1" ht="15.75" x14ac:dyDescent="0.25">
      <c r="A22" s="53">
        <v>7</v>
      </c>
      <c r="B22" s="78" t="s">
        <v>1338</v>
      </c>
      <c r="C22" s="53" t="s">
        <v>23</v>
      </c>
      <c r="D22" s="79">
        <v>5</v>
      </c>
      <c r="E22" s="56">
        <v>280</v>
      </c>
      <c r="F22" s="56">
        <f t="shared" si="0"/>
        <v>1400</v>
      </c>
      <c r="G22" s="56">
        <f t="shared" si="2"/>
        <v>238.00000000000003</v>
      </c>
      <c r="H22" s="74">
        <f t="shared" si="3"/>
        <v>327.59999999999997</v>
      </c>
      <c r="I22" s="56">
        <f t="shared" si="1"/>
        <v>1637.9999999999998</v>
      </c>
      <c r="J22" s="83"/>
      <c r="N22" s="66"/>
    </row>
    <row r="23" spans="1:18" s="21" customFormat="1" ht="15.75" x14ac:dyDescent="0.25">
      <c r="A23" s="53">
        <v>8</v>
      </c>
      <c r="B23" s="78" t="s">
        <v>1339</v>
      </c>
      <c r="C23" s="53" t="s">
        <v>23</v>
      </c>
      <c r="D23" s="79">
        <v>144</v>
      </c>
      <c r="E23" s="56">
        <v>32</v>
      </c>
      <c r="F23" s="56">
        <f t="shared" si="0"/>
        <v>4608</v>
      </c>
      <c r="G23" s="56">
        <f t="shared" si="2"/>
        <v>783.36</v>
      </c>
      <c r="H23" s="74">
        <f t="shared" si="3"/>
        <v>37.44</v>
      </c>
      <c r="I23" s="56">
        <f t="shared" si="1"/>
        <v>5391.36</v>
      </c>
      <c r="J23" s="83"/>
      <c r="N23" s="66"/>
    </row>
    <row r="24" spans="1:18" s="21" customFormat="1" x14ac:dyDescent="0.25">
      <c r="A24" s="53"/>
      <c r="B24" s="47"/>
      <c r="C24" s="53"/>
      <c r="D24" s="79"/>
      <c r="E24" s="56"/>
      <c r="F24" s="56"/>
      <c r="G24" s="56"/>
      <c r="H24" s="57"/>
      <c r="I24" s="56"/>
      <c r="J24" s="58"/>
      <c r="N24" s="66"/>
    </row>
    <row r="25" spans="1:18" ht="15.75" thickBot="1" x14ac:dyDescent="0.3">
      <c r="A25" s="33"/>
      <c r="B25" s="34" t="s">
        <v>24</v>
      </c>
      <c r="C25" s="35"/>
      <c r="D25" s="62">
        <f>SUM(D16:D24)</f>
        <v>2835</v>
      </c>
      <c r="E25" s="35"/>
      <c r="F25" s="62">
        <f>SUM(F16:F24)</f>
        <v>38792</v>
      </c>
      <c r="G25" s="62">
        <f>SUM(G16:G24)</f>
        <v>6594.64</v>
      </c>
      <c r="H25" s="35"/>
      <c r="I25" s="62">
        <f>SUM(I16:I24)</f>
        <v>45386.64</v>
      </c>
      <c r="J25" s="37"/>
    </row>
    <row r="26" spans="1:18" ht="15.75" thickTop="1" x14ac:dyDescent="0.25">
      <c r="A26" s="33"/>
      <c r="B26" s="34" t="s">
        <v>1340</v>
      </c>
      <c r="C26" s="35"/>
      <c r="D26" s="35"/>
      <c r="E26" s="35"/>
      <c r="F26" s="35"/>
      <c r="G26" s="35"/>
      <c r="H26" s="35"/>
      <c r="I26" s="35"/>
      <c r="J26" s="37"/>
    </row>
    <row r="27" spans="1:18" x14ac:dyDescent="0.25">
      <c r="A27" s="33"/>
      <c r="B27" s="38" t="s">
        <v>25</v>
      </c>
      <c r="C27" s="35"/>
      <c r="D27" s="35"/>
      <c r="E27" s="35"/>
      <c r="F27" s="35"/>
      <c r="G27" s="35"/>
      <c r="H27" s="35"/>
      <c r="I27" s="35"/>
      <c r="J27" s="37"/>
      <c r="M27" s="64"/>
      <c r="O27" s="65"/>
      <c r="P27" s="64"/>
      <c r="Q27" s="64"/>
      <c r="R27" s="64"/>
    </row>
    <row r="28" spans="1:18" ht="30" customHeight="1" x14ac:dyDescent="0.25">
      <c r="B28" s="183" t="s">
        <v>26</v>
      </c>
      <c r="C28" s="183"/>
      <c r="D28" s="183"/>
      <c r="E28" s="183"/>
      <c r="F28" s="183"/>
      <c r="G28" s="183"/>
      <c r="H28" s="183"/>
      <c r="I28" s="183"/>
      <c r="J28" s="183"/>
      <c r="P28" s="64"/>
      <c r="R28" s="65"/>
    </row>
    <row r="29" spans="1:18" x14ac:dyDescent="0.25">
      <c r="B29" t="s">
        <v>634</v>
      </c>
    </row>
    <row r="32" spans="1:18" x14ac:dyDescent="0.25">
      <c r="B32" t="s">
        <v>28</v>
      </c>
      <c r="H32" t="s">
        <v>28</v>
      </c>
    </row>
    <row r="33" spans="2:8" x14ac:dyDescent="0.25">
      <c r="B33" t="s">
        <v>29</v>
      </c>
      <c r="H33" t="s">
        <v>30</v>
      </c>
    </row>
  </sheetData>
  <autoFilter ref="A15:J29" xr:uid="{00000000-0009-0000-0000-000000000000}"/>
  <mergeCells count="5">
    <mergeCell ref="A6:J6"/>
    <mergeCell ref="I7:J7"/>
    <mergeCell ref="I8:J8"/>
    <mergeCell ref="I9:J9"/>
    <mergeCell ref="B28:J28"/>
  </mergeCells>
  <hyperlinks>
    <hyperlink ref="H5" r:id="rId1" xr:uid="{62AAF82D-62FE-4CF8-9C17-908D5A931A1F}"/>
  </hyperlinks>
  <pageMargins left="0.2" right="0.1" top="0.25" bottom="0.25" header="0.3" footer="0.3"/>
  <pageSetup paperSize="9" orientation="portrait" r:id="rId2"/>
  <drawing r:id="rId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07FAD-FE0B-49F9-8BFE-6235500AB40A}">
  <dimension ref="A1:R26"/>
  <sheetViews>
    <sheetView workbookViewId="0">
      <selection activeCell="A7" sqref="A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1681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1680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1691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1330</v>
      </c>
      <c r="C16" s="53" t="s">
        <v>269</v>
      </c>
      <c r="D16" s="79">
        <v>4</v>
      </c>
      <c r="E16" s="56">
        <v>320</v>
      </c>
      <c r="F16" s="56">
        <f t="shared" ref="F16" si="0">D16*E16</f>
        <v>1280</v>
      </c>
      <c r="G16" s="56">
        <f>F16*0.17</f>
        <v>217.60000000000002</v>
      </c>
      <c r="H16" s="74">
        <f>E16*1.17</f>
        <v>374.4</v>
      </c>
      <c r="I16" s="56">
        <f t="shared" ref="I16" si="1">H16*D16</f>
        <v>1497.6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4</v>
      </c>
      <c r="E18" s="35"/>
      <c r="F18" s="62">
        <f>SUM(F16:F17)</f>
        <v>1280</v>
      </c>
      <c r="G18" s="62">
        <f>SUM(G16:G17)</f>
        <v>217.60000000000002</v>
      </c>
      <c r="H18" s="35"/>
      <c r="I18" s="62">
        <f>SUM(I16:I17)</f>
        <v>1497.6</v>
      </c>
      <c r="J18" s="37"/>
    </row>
    <row r="19" spans="1:18" ht="15.75" thickTop="1" x14ac:dyDescent="0.25">
      <c r="A19" s="33"/>
      <c r="B19" s="34" t="s">
        <v>1331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3993A402-563C-49DE-82E1-60C73A766C85}"/>
  </hyperlinks>
  <pageMargins left="0.2" right="0.1" top="0.25" bottom="0.25" header="0.3" footer="0.3"/>
  <pageSetup paperSize="9" orientation="portrait" r:id="rId2"/>
  <drawing r:id="rId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908BF-C6E8-42C2-9F21-11639863862E}">
  <dimension ref="A1:R26"/>
  <sheetViews>
    <sheetView workbookViewId="0">
      <selection activeCell="A6" sqref="A6:J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1674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1675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1676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1677</v>
      </c>
      <c r="C16" s="53" t="s">
        <v>987</v>
      </c>
      <c r="D16" s="79">
        <v>1</v>
      </c>
      <c r="E16" s="56">
        <v>180</v>
      </c>
      <c r="F16" s="56">
        <f>D16*E16</f>
        <v>180</v>
      </c>
      <c r="G16" s="56">
        <f>F16*0.17</f>
        <v>30.6</v>
      </c>
      <c r="H16" s="125">
        <f>E16*1.17</f>
        <v>210.6</v>
      </c>
      <c r="I16" s="56">
        <f t="shared" ref="I16" si="0">H16*D16</f>
        <v>210.6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1</v>
      </c>
      <c r="E18" s="35"/>
      <c r="F18" s="62">
        <f>SUM(F16:F17)</f>
        <v>180</v>
      </c>
      <c r="G18" s="62">
        <f>SUM(G16:G17)</f>
        <v>30.6</v>
      </c>
      <c r="H18" s="35"/>
      <c r="I18" s="62">
        <f>SUM(I16:I17)</f>
        <v>210.6</v>
      </c>
      <c r="J18" s="37"/>
    </row>
    <row r="19" spans="1:18" ht="15.75" thickTop="1" x14ac:dyDescent="0.25">
      <c r="A19" s="33"/>
      <c r="B19" s="34" t="s">
        <v>1678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886F22A7-B0D3-4A56-978D-5B5BB961EBC2}"/>
  </hyperlinks>
  <pageMargins left="0.2" right="0.1" top="0.25" bottom="0.25" header="0.3" footer="0.3"/>
  <pageSetup paperSize="9" orientation="portrait" r:id="rId2"/>
  <drawing r:id="rId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7373B-C1E8-4819-A13A-73E758EB073D}">
  <dimension ref="A1:R27"/>
  <sheetViews>
    <sheetView topLeftCell="A5" workbookViewId="0">
      <selection activeCell="A20" sqref="A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1669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1670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1671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1672</v>
      </c>
      <c r="C16" s="53" t="s">
        <v>987</v>
      </c>
      <c r="D16" s="79">
        <v>50</v>
      </c>
      <c r="E16" s="56">
        <v>26</v>
      </c>
      <c r="F16" s="56">
        <f>D16*E16</f>
        <v>1300</v>
      </c>
      <c r="G16" s="56">
        <f>F16*0</f>
        <v>0</v>
      </c>
      <c r="H16" s="125">
        <f>E16*1</f>
        <v>26</v>
      </c>
      <c r="I16" s="56">
        <f t="shared" ref="I16:I17" si="0">H16*D16</f>
        <v>1300</v>
      </c>
      <c r="J16" s="83"/>
      <c r="N16" s="66"/>
    </row>
    <row r="17" spans="1:18" s="21" customFormat="1" ht="15.75" x14ac:dyDescent="0.25">
      <c r="A17" s="53">
        <v>2</v>
      </c>
      <c r="B17" s="78" t="s">
        <v>1379</v>
      </c>
      <c r="C17" s="53" t="s">
        <v>987</v>
      </c>
      <c r="D17" s="79">
        <v>300</v>
      </c>
      <c r="E17" s="56">
        <v>6.4</v>
      </c>
      <c r="F17" s="56">
        <f t="shared" ref="F17" si="1">D17*E17</f>
        <v>1920</v>
      </c>
      <c r="G17" s="56">
        <f>F17*0</f>
        <v>0</v>
      </c>
      <c r="H17" s="125">
        <f>E17*1</f>
        <v>6.4</v>
      </c>
      <c r="I17" s="56">
        <f t="shared" si="0"/>
        <v>1920</v>
      </c>
      <c r="J17" s="83"/>
      <c r="N17" s="66"/>
    </row>
    <row r="18" spans="1:18" s="21" customFormat="1" x14ac:dyDescent="0.25">
      <c r="A18" s="53"/>
      <c r="B18" s="47"/>
      <c r="C18" s="53"/>
      <c r="D18" s="79"/>
      <c r="E18" s="56"/>
      <c r="F18" s="56"/>
      <c r="G18" s="56"/>
      <c r="H18" s="57"/>
      <c r="I18" s="56"/>
      <c r="J18" s="58"/>
      <c r="N18" s="66"/>
    </row>
    <row r="19" spans="1:18" ht="15.75" thickBot="1" x14ac:dyDescent="0.3">
      <c r="A19" s="33"/>
      <c r="B19" s="34" t="s">
        <v>24</v>
      </c>
      <c r="C19" s="35"/>
      <c r="D19" s="62">
        <f>SUM(D16:D18)</f>
        <v>350</v>
      </c>
      <c r="E19" s="35"/>
      <c r="F19" s="62">
        <f>SUM(F16:F18)</f>
        <v>3220</v>
      </c>
      <c r="G19" s="62">
        <f>SUM(G16:G18)</f>
        <v>0</v>
      </c>
      <c r="H19" s="35"/>
      <c r="I19" s="62">
        <f>SUM(I16:I18)</f>
        <v>3220</v>
      </c>
      <c r="J19" s="37"/>
    </row>
    <row r="20" spans="1:18" ht="15.75" thickTop="1" x14ac:dyDescent="0.25">
      <c r="A20" s="33"/>
      <c r="B20" s="34" t="s">
        <v>1673</v>
      </c>
      <c r="C20" s="35"/>
      <c r="D20" s="35"/>
      <c r="E20" s="35"/>
      <c r="F20" s="35"/>
      <c r="G20" s="35"/>
      <c r="H20" s="35"/>
      <c r="I20" s="35"/>
      <c r="J20" s="37"/>
    </row>
    <row r="21" spans="1:18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  <c r="M21" s="64"/>
      <c r="O21" s="65"/>
      <c r="P21" s="64"/>
      <c r="Q21" s="64"/>
      <c r="R21" s="64"/>
    </row>
    <row r="22" spans="1:18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  <c r="P22" s="64"/>
      <c r="R22" s="65"/>
    </row>
    <row r="23" spans="1:18" x14ac:dyDescent="0.25">
      <c r="B23" t="s">
        <v>634</v>
      </c>
    </row>
    <row r="26" spans="1:18" x14ac:dyDescent="0.25">
      <c r="B26" t="s">
        <v>28</v>
      </c>
      <c r="H26" t="s">
        <v>28</v>
      </c>
    </row>
    <row r="27" spans="1:18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078A31EA-4545-4177-B7EA-54ACBBFF12D9}"/>
  </hyperlinks>
  <pageMargins left="0.2" right="0.1" top="0.25" bottom="0.25" header="0.3" footer="0.3"/>
  <pageSetup paperSize="9" orientation="portrait" r:id="rId2"/>
  <drawing r:id="rId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9B5F1-6C1A-4D2A-9AC3-8AAA5A799E08}">
  <dimension ref="A1:R27"/>
  <sheetViews>
    <sheetView workbookViewId="0">
      <selection activeCell="I10" sqref="I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1664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1663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1668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1665</v>
      </c>
      <c r="C16" s="53" t="s">
        <v>987</v>
      </c>
      <c r="D16" s="79">
        <v>15</v>
      </c>
      <c r="E16" s="56">
        <v>135</v>
      </c>
      <c r="F16" s="56">
        <f t="shared" ref="F16" si="0">D16*E16</f>
        <v>2025</v>
      </c>
      <c r="G16" s="56">
        <f>F16*0.17</f>
        <v>344.25</v>
      </c>
      <c r="H16" s="125">
        <f>E16*1.17</f>
        <v>157.94999999999999</v>
      </c>
      <c r="I16" s="56">
        <f t="shared" ref="I16" si="1">H16*D16</f>
        <v>2369.25</v>
      </c>
      <c r="J16" s="83"/>
      <c r="N16" s="66"/>
    </row>
    <row r="17" spans="1:18" s="21" customFormat="1" ht="15.75" x14ac:dyDescent="0.25">
      <c r="A17" s="53">
        <v>2</v>
      </c>
      <c r="B17" s="78" t="s">
        <v>1666</v>
      </c>
      <c r="C17" s="53" t="s">
        <v>987</v>
      </c>
      <c r="D17" s="79">
        <v>6</v>
      </c>
      <c r="E17" s="56">
        <v>210</v>
      </c>
      <c r="F17" s="56">
        <f t="shared" ref="F17" si="2">D17*E17</f>
        <v>1260</v>
      </c>
      <c r="G17" s="56">
        <f>F17*0.17</f>
        <v>214.20000000000002</v>
      </c>
      <c r="H17" s="125">
        <f>E17*1.17</f>
        <v>245.7</v>
      </c>
      <c r="I17" s="56">
        <f t="shared" ref="I17" si="3">H17*D17</f>
        <v>1474.1999999999998</v>
      </c>
      <c r="J17" s="83"/>
      <c r="N17" s="66"/>
    </row>
    <row r="18" spans="1:18" s="21" customFormat="1" x14ac:dyDescent="0.25">
      <c r="A18" s="53"/>
      <c r="B18" s="47"/>
      <c r="C18" s="53"/>
      <c r="D18" s="79"/>
      <c r="E18" s="56"/>
      <c r="F18" s="56"/>
      <c r="G18" s="56"/>
      <c r="H18" s="57"/>
      <c r="I18" s="56"/>
      <c r="J18" s="58"/>
      <c r="N18" s="66"/>
    </row>
    <row r="19" spans="1:18" ht="15.75" thickBot="1" x14ac:dyDescent="0.3">
      <c r="A19" s="33"/>
      <c r="B19" s="34" t="s">
        <v>24</v>
      </c>
      <c r="C19" s="35"/>
      <c r="D19" s="62">
        <f>SUM(D16:D18)</f>
        <v>21</v>
      </c>
      <c r="E19" s="35"/>
      <c r="F19" s="62">
        <f>SUM(F16:F18)</f>
        <v>3285</v>
      </c>
      <c r="G19" s="62">
        <f>SUM(G16:G18)</f>
        <v>558.45000000000005</v>
      </c>
      <c r="H19" s="35"/>
      <c r="I19" s="62">
        <f>SUM(I16:I18)</f>
        <v>3843.45</v>
      </c>
      <c r="J19" s="37"/>
    </row>
    <row r="20" spans="1:18" ht="15.75" thickTop="1" x14ac:dyDescent="0.25">
      <c r="A20" s="33"/>
      <c r="B20" s="34" t="s">
        <v>1667</v>
      </c>
      <c r="C20" s="35"/>
      <c r="D20" s="35"/>
      <c r="E20" s="35"/>
      <c r="F20" s="35"/>
      <c r="G20" s="35"/>
      <c r="H20" s="35"/>
      <c r="I20" s="35"/>
      <c r="J20" s="37"/>
    </row>
    <row r="21" spans="1:18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  <c r="M21" s="64"/>
      <c r="O21" s="65"/>
      <c r="P21" s="64"/>
      <c r="Q21" s="64"/>
      <c r="R21" s="64"/>
    </row>
    <row r="22" spans="1:18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  <c r="P22" s="64"/>
      <c r="R22" s="65"/>
    </row>
    <row r="23" spans="1:18" x14ac:dyDescent="0.25">
      <c r="B23" t="s">
        <v>634</v>
      </c>
    </row>
    <row r="26" spans="1:18" x14ac:dyDescent="0.25">
      <c r="B26" t="s">
        <v>28</v>
      </c>
      <c r="H26" t="s">
        <v>28</v>
      </c>
    </row>
    <row r="27" spans="1:18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95D6D2C7-6F03-4D62-9291-AB17BC114D70}"/>
  </hyperlinks>
  <pageMargins left="0.2" right="0.1" top="0.25" bottom="0.25" header="0.3" footer="0.3"/>
  <pageSetup paperSize="9" orientation="portrait" r:id="rId2"/>
  <drawing r:id="rId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4E38A-6136-48A3-AAA9-F6740F3639C0}">
  <dimension ref="A1:J29"/>
  <sheetViews>
    <sheetView workbookViewId="0">
      <selection activeCell="I10" sqref="I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1651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1658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1414</v>
      </c>
      <c r="D10" s="10"/>
      <c r="E10" s="10"/>
      <c r="F10" s="10"/>
    </row>
    <row r="11" spans="1:10" x14ac:dyDescent="0.25">
      <c r="B11" t="s">
        <v>11</v>
      </c>
      <c r="C11" s="10" t="s">
        <v>52</v>
      </c>
      <c r="D11" s="11"/>
      <c r="E11" s="11"/>
      <c r="F11" s="11"/>
    </row>
    <row r="12" spans="1:10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1413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1659</v>
      </c>
      <c r="C16" s="54" t="s">
        <v>165</v>
      </c>
      <c r="D16" s="72">
        <v>10</v>
      </c>
      <c r="E16" s="56">
        <v>130</v>
      </c>
      <c r="F16" s="56">
        <f t="shared" ref="F16:F20" si="0">D16*E16</f>
        <v>1300</v>
      </c>
      <c r="G16" s="56">
        <f t="shared" ref="G16:G20" si="1">F16*0.17</f>
        <v>221.00000000000003</v>
      </c>
      <c r="H16" s="84">
        <f t="shared" ref="H16:H20" si="2">E16*1.17</f>
        <v>152.1</v>
      </c>
      <c r="I16" s="56">
        <f t="shared" ref="I16:I20" si="3">H16*D16</f>
        <v>1521</v>
      </c>
      <c r="J16" s="58"/>
    </row>
    <row r="17" spans="1:10" s="21" customFormat="1" x14ac:dyDescent="0.25">
      <c r="A17" s="53">
        <f>A16+1</f>
        <v>2</v>
      </c>
      <c r="B17" s="47" t="s">
        <v>1660</v>
      </c>
      <c r="C17" s="54" t="s">
        <v>165</v>
      </c>
      <c r="D17" s="72">
        <v>10</v>
      </c>
      <c r="E17" s="56">
        <v>100</v>
      </c>
      <c r="F17" s="56">
        <f t="shared" si="0"/>
        <v>1000</v>
      </c>
      <c r="G17" s="56">
        <f t="shared" si="1"/>
        <v>170</v>
      </c>
      <c r="H17" s="84">
        <f t="shared" si="2"/>
        <v>117</v>
      </c>
      <c r="I17" s="56">
        <f t="shared" si="3"/>
        <v>1170</v>
      </c>
      <c r="J17" s="58"/>
    </row>
    <row r="18" spans="1:10" s="21" customFormat="1" x14ac:dyDescent="0.25">
      <c r="A18" s="53">
        <f t="shared" ref="A18:A19" si="4">A17+1</f>
        <v>3</v>
      </c>
      <c r="B18" s="47" t="s">
        <v>71</v>
      </c>
      <c r="C18" s="54" t="s">
        <v>193</v>
      </c>
      <c r="D18" s="72">
        <v>300</v>
      </c>
      <c r="E18" s="56">
        <v>20</v>
      </c>
      <c r="F18" s="56">
        <f t="shared" si="0"/>
        <v>6000</v>
      </c>
      <c r="G18" s="56">
        <f t="shared" si="1"/>
        <v>1020.0000000000001</v>
      </c>
      <c r="H18" s="84">
        <f t="shared" si="2"/>
        <v>23.4</v>
      </c>
      <c r="I18" s="56">
        <f t="shared" si="3"/>
        <v>7020</v>
      </c>
      <c r="J18" s="58"/>
    </row>
    <row r="19" spans="1:10" s="21" customFormat="1" x14ac:dyDescent="0.25">
      <c r="A19" s="53">
        <f t="shared" si="4"/>
        <v>4</v>
      </c>
      <c r="B19" s="47" t="s">
        <v>1661</v>
      </c>
      <c r="C19" s="54" t="s">
        <v>76</v>
      </c>
      <c r="D19" s="72">
        <v>20</v>
      </c>
      <c r="E19" s="56">
        <v>90</v>
      </c>
      <c r="F19" s="56">
        <f t="shared" si="0"/>
        <v>1800</v>
      </c>
      <c r="G19" s="56">
        <f t="shared" si="1"/>
        <v>306</v>
      </c>
      <c r="H19" s="84">
        <f t="shared" si="2"/>
        <v>105.3</v>
      </c>
      <c r="I19" s="56">
        <f t="shared" si="3"/>
        <v>2106</v>
      </c>
      <c r="J19" s="58"/>
    </row>
    <row r="20" spans="1:10" s="21" customFormat="1" x14ac:dyDescent="0.25">
      <c r="A20" s="53"/>
      <c r="B20" s="47"/>
      <c r="C20" s="54"/>
      <c r="D20" s="72"/>
      <c r="E20" s="56"/>
      <c r="F20" s="56">
        <f t="shared" si="0"/>
        <v>0</v>
      </c>
      <c r="G20" s="56">
        <f t="shared" si="1"/>
        <v>0</v>
      </c>
      <c r="H20" s="84">
        <f t="shared" si="2"/>
        <v>0</v>
      </c>
      <c r="I20" s="56">
        <f t="shared" si="3"/>
        <v>0</v>
      </c>
      <c r="J20" s="58"/>
    </row>
    <row r="21" spans="1:10" ht="15.75" thickBot="1" x14ac:dyDescent="0.3">
      <c r="A21" s="33"/>
      <c r="B21" s="34" t="s">
        <v>24</v>
      </c>
      <c r="C21" s="35"/>
      <c r="D21" s="62">
        <f>SUM(D16:D19)</f>
        <v>340</v>
      </c>
      <c r="E21" s="35"/>
      <c r="F21" s="62">
        <f>SUM(F16:F19)</f>
        <v>10100</v>
      </c>
      <c r="G21" s="62">
        <f>SUM(G16:G19)</f>
        <v>1717</v>
      </c>
      <c r="H21" s="35"/>
      <c r="I21" s="62">
        <f>SUM(I16:I19)</f>
        <v>11817</v>
      </c>
      <c r="J21" s="37"/>
    </row>
    <row r="22" spans="1:10" ht="15.75" thickTop="1" x14ac:dyDescent="0.25">
      <c r="A22" s="33"/>
      <c r="B22" s="34" t="s">
        <v>1662</v>
      </c>
      <c r="C22" s="35"/>
      <c r="D22" s="35"/>
      <c r="E22" s="35"/>
      <c r="F22" s="35"/>
      <c r="G22" s="35"/>
      <c r="H22" s="35"/>
      <c r="I22" s="35"/>
      <c r="J22" s="37"/>
    </row>
    <row r="23" spans="1:10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</row>
    <row r="24" spans="1:10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</row>
    <row r="25" spans="1:10" x14ac:dyDescent="0.25">
      <c r="B25" t="s">
        <v>634</v>
      </c>
    </row>
    <row r="28" spans="1:10" x14ac:dyDescent="0.25">
      <c r="B28" t="s">
        <v>28</v>
      </c>
      <c r="H28" t="s">
        <v>28</v>
      </c>
    </row>
    <row r="29" spans="1:10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F5035F2C-AF05-4C17-BE97-56883B6F97BE}"/>
  </hyperlinks>
  <pageMargins left="0.2" right="0.1" top="0.25" bottom="0.25" header="0.3" footer="0.3"/>
  <pageSetup paperSize="9" orientation="portrait" r:id="rId2"/>
  <drawing r:id="rId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33460-D269-4376-BD2B-F6105BFAA4A6}">
  <dimension ref="A1:R33"/>
  <sheetViews>
    <sheetView topLeftCell="A7" workbookViewId="0">
      <selection activeCell="E20" sqref="E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1651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1650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1652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6" t="s">
        <v>1636</v>
      </c>
      <c r="M15" s="21" t="s">
        <v>738</v>
      </c>
    </row>
    <row r="16" spans="1:15" s="21" customFormat="1" x14ac:dyDescent="0.25">
      <c r="A16" s="53">
        <v>1</v>
      </c>
      <c r="B16" s="47" t="s">
        <v>1653</v>
      </c>
      <c r="C16" s="53" t="s">
        <v>1234</v>
      </c>
      <c r="D16" s="79">
        <v>24</v>
      </c>
      <c r="E16" s="82">
        <v>38</v>
      </c>
      <c r="F16" s="56">
        <f t="shared" ref="F16:F24" si="0">D16*E16</f>
        <v>912</v>
      </c>
      <c r="G16" s="56">
        <f t="shared" ref="G16:G19" si="1">F16*0.17</f>
        <v>155.04000000000002</v>
      </c>
      <c r="H16" s="57">
        <f t="shared" ref="H16:H19" si="2">E16*1.17</f>
        <v>44.459999999999994</v>
      </c>
      <c r="I16" s="56">
        <f t="shared" ref="I16:I24" si="3">H16*D16</f>
        <v>1067.04</v>
      </c>
      <c r="J16" s="131" t="s">
        <v>1639</v>
      </c>
      <c r="M16" s="21">
        <f t="shared" ref="M16:M24" si="4">440*1.02</f>
        <v>448.8</v>
      </c>
      <c r="N16" s="66" t="e">
        <f>M16-#REF!</f>
        <v>#REF!</v>
      </c>
      <c r="O16" s="21" t="e">
        <f t="shared" ref="O16:O24" si="5">N16*D16</f>
        <v>#REF!</v>
      </c>
    </row>
    <row r="17" spans="1:18" s="21" customFormat="1" x14ac:dyDescent="0.25">
      <c r="A17" s="53">
        <v>2</v>
      </c>
      <c r="B17" s="47" t="s">
        <v>177</v>
      </c>
      <c r="C17" s="53" t="s">
        <v>1234</v>
      </c>
      <c r="D17" s="79">
        <v>121</v>
      </c>
      <c r="E17" s="82">
        <v>25</v>
      </c>
      <c r="F17" s="56">
        <f t="shared" si="0"/>
        <v>3025</v>
      </c>
      <c r="G17" s="56">
        <f t="shared" si="1"/>
        <v>514.25</v>
      </c>
      <c r="H17" s="57">
        <f t="shared" si="2"/>
        <v>29.25</v>
      </c>
      <c r="I17" s="56">
        <f t="shared" si="3"/>
        <v>3539.25</v>
      </c>
      <c r="J17" s="131" t="s">
        <v>1639</v>
      </c>
      <c r="M17" s="21">
        <f t="shared" si="4"/>
        <v>448.8</v>
      </c>
      <c r="N17" s="66" t="e">
        <f>M17-#REF!</f>
        <v>#REF!</v>
      </c>
      <c r="O17" s="21" t="e">
        <f t="shared" si="5"/>
        <v>#REF!</v>
      </c>
    </row>
    <row r="18" spans="1:18" s="21" customFormat="1" x14ac:dyDescent="0.25">
      <c r="A18" s="53">
        <v>3</v>
      </c>
      <c r="B18" s="47" t="s">
        <v>1654</v>
      </c>
      <c r="C18" s="53" t="s">
        <v>1234</v>
      </c>
      <c r="D18" s="79">
        <v>24</v>
      </c>
      <c r="E18" s="82">
        <v>32</v>
      </c>
      <c r="F18" s="56">
        <f t="shared" si="0"/>
        <v>768</v>
      </c>
      <c r="G18" s="56">
        <f>F18*0</f>
        <v>0</v>
      </c>
      <c r="H18" s="57">
        <f>E18*1</f>
        <v>32</v>
      </c>
      <c r="I18" s="56">
        <f t="shared" si="3"/>
        <v>768</v>
      </c>
      <c r="J18" s="131" t="s">
        <v>1639</v>
      </c>
      <c r="M18" s="21">
        <f t="shared" si="4"/>
        <v>448.8</v>
      </c>
      <c r="N18" s="66" t="e">
        <f>M18-#REF!</f>
        <v>#REF!</v>
      </c>
      <c r="O18" s="21" t="e">
        <f t="shared" si="5"/>
        <v>#REF!</v>
      </c>
    </row>
    <row r="19" spans="1:18" s="21" customFormat="1" x14ac:dyDescent="0.25">
      <c r="A19" s="53">
        <v>4</v>
      </c>
      <c r="B19" s="47" t="s">
        <v>608</v>
      </c>
      <c r="C19" s="53" t="s">
        <v>1234</v>
      </c>
      <c r="D19" s="79">
        <v>104</v>
      </c>
      <c r="E19" s="82">
        <v>33</v>
      </c>
      <c r="F19" s="56">
        <f t="shared" si="0"/>
        <v>3432</v>
      </c>
      <c r="G19" s="56">
        <f t="shared" si="1"/>
        <v>583.44000000000005</v>
      </c>
      <c r="H19" s="57">
        <f t="shared" si="2"/>
        <v>38.61</v>
      </c>
      <c r="I19" s="56">
        <f t="shared" si="3"/>
        <v>4015.44</v>
      </c>
      <c r="J19" s="131" t="s">
        <v>1639</v>
      </c>
      <c r="M19" s="21">
        <f t="shared" si="4"/>
        <v>448.8</v>
      </c>
      <c r="N19" s="66" t="e">
        <f>M19-#REF!</f>
        <v>#REF!</v>
      </c>
      <c r="O19" s="21" t="e">
        <f t="shared" si="5"/>
        <v>#REF!</v>
      </c>
    </row>
    <row r="20" spans="1:18" s="21" customFormat="1" x14ac:dyDescent="0.25">
      <c r="A20" s="53">
        <v>5</v>
      </c>
      <c r="B20" s="47" t="s">
        <v>69</v>
      </c>
      <c r="C20" s="53" t="s">
        <v>1234</v>
      </c>
      <c r="D20" s="79">
        <v>450</v>
      </c>
      <c r="E20" s="82">
        <v>7</v>
      </c>
      <c r="F20" s="56">
        <f t="shared" si="0"/>
        <v>3150</v>
      </c>
      <c r="G20" s="56">
        <f>F20*0</f>
        <v>0</v>
      </c>
      <c r="H20" s="57">
        <f>E20*1</f>
        <v>7</v>
      </c>
      <c r="I20" s="56">
        <f t="shared" si="3"/>
        <v>3150</v>
      </c>
      <c r="J20" s="131" t="s">
        <v>1637</v>
      </c>
      <c r="M20" s="21">
        <f t="shared" si="4"/>
        <v>448.8</v>
      </c>
      <c r="N20" s="66" t="e">
        <f>M20-#REF!</f>
        <v>#REF!</v>
      </c>
      <c r="O20" s="21" t="e">
        <f t="shared" si="5"/>
        <v>#REF!</v>
      </c>
    </row>
    <row r="21" spans="1:18" s="21" customFormat="1" x14ac:dyDescent="0.25">
      <c r="A21" s="53">
        <v>6</v>
      </c>
      <c r="B21" s="47" t="s">
        <v>1655</v>
      </c>
      <c r="C21" s="53" t="s">
        <v>1234</v>
      </c>
      <c r="D21" s="79">
        <v>67</v>
      </c>
      <c r="E21" s="82">
        <v>28</v>
      </c>
      <c r="F21" s="56">
        <f t="shared" si="0"/>
        <v>1876</v>
      </c>
      <c r="G21" s="56">
        <f t="shared" ref="G21" si="6">F21*0.17</f>
        <v>318.92</v>
      </c>
      <c r="H21" s="57">
        <f t="shared" ref="H21" si="7">E21*1.17</f>
        <v>32.76</v>
      </c>
      <c r="I21" s="56">
        <f t="shared" si="3"/>
        <v>2194.92</v>
      </c>
      <c r="J21" s="131" t="s">
        <v>1638</v>
      </c>
      <c r="M21" s="21">
        <f t="shared" si="4"/>
        <v>448.8</v>
      </c>
      <c r="N21" s="66" t="e">
        <f>M21-#REF!</f>
        <v>#REF!</v>
      </c>
      <c r="O21" s="21" t="e">
        <f t="shared" si="5"/>
        <v>#REF!</v>
      </c>
    </row>
    <row r="22" spans="1:18" s="21" customFormat="1" x14ac:dyDescent="0.25">
      <c r="A22" s="53">
        <v>7</v>
      </c>
      <c r="B22" s="47" t="s">
        <v>1656</v>
      </c>
      <c r="C22" s="53" t="s">
        <v>1234</v>
      </c>
      <c r="D22" s="79">
        <v>518</v>
      </c>
      <c r="E22" s="82">
        <v>25</v>
      </c>
      <c r="F22" s="56">
        <f t="shared" si="0"/>
        <v>12950</v>
      </c>
      <c r="G22" s="56">
        <f t="shared" ref="G22:G24" si="8">F22*0.17</f>
        <v>2201.5</v>
      </c>
      <c r="H22" s="57">
        <f t="shared" ref="H22:H24" si="9">E22*1.17</f>
        <v>29.25</v>
      </c>
      <c r="I22" s="56">
        <f t="shared" si="3"/>
        <v>15151.5</v>
      </c>
      <c r="J22" s="131" t="s">
        <v>1639</v>
      </c>
      <c r="M22" s="21">
        <f t="shared" si="4"/>
        <v>448.8</v>
      </c>
      <c r="N22" s="66" t="e">
        <f>M22-#REF!</f>
        <v>#REF!</v>
      </c>
      <c r="O22" s="21" t="e">
        <f t="shared" si="5"/>
        <v>#REF!</v>
      </c>
    </row>
    <row r="23" spans="1:18" s="21" customFormat="1" x14ac:dyDescent="0.25">
      <c r="A23" s="53">
        <v>8</v>
      </c>
      <c r="B23" s="47" t="s">
        <v>1657</v>
      </c>
      <c r="C23" s="53" t="s">
        <v>1234</v>
      </c>
      <c r="D23" s="79">
        <v>22</v>
      </c>
      <c r="E23" s="82">
        <v>132</v>
      </c>
      <c r="F23" s="56">
        <f t="shared" si="0"/>
        <v>2904</v>
      </c>
      <c r="G23" s="56">
        <f t="shared" si="8"/>
        <v>493.68000000000006</v>
      </c>
      <c r="H23" s="57">
        <f t="shared" si="9"/>
        <v>154.44</v>
      </c>
      <c r="I23" s="56">
        <f t="shared" si="3"/>
        <v>3397.68</v>
      </c>
      <c r="J23" s="131" t="s">
        <v>1639</v>
      </c>
      <c r="M23" s="21">
        <f t="shared" si="4"/>
        <v>448.8</v>
      </c>
      <c r="N23" s="66" t="e">
        <f>M23-#REF!</f>
        <v>#REF!</v>
      </c>
      <c r="O23" s="21" t="e">
        <f t="shared" si="5"/>
        <v>#REF!</v>
      </c>
    </row>
    <row r="24" spans="1:18" s="21" customFormat="1" x14ac:dyDescent="0.25">
      <c r="A24" s="53"/>
      <c r="B24" s="47"/>
      <c r="C24" s="82"/>
      <c r="D24" s="57"/>
      <c r="E24" s="56"/>
      <c r="F24" s="56">
        <f t="shared" si="0"/>
        <v>0</v>
      </c>
      <c r="G24" s="56">
        <f t="shared" si="8"/>
        <v>0</v>
      </c>
      <c r="H24" s="57">
        <f t="shared" si="9"/>
        <v>0</v>
      </c>
      <c r="I24" s="56">
        <f t="shared" si="3"/>
        <v>0</v>
      </c>
      <c r="J24" s="58"/>
      <c r="M24" s="21">
        <f t="shared" si="4"/>
        <v>448.8</v>
      </c>
      <c r="N24" s="66" t="e">
        <f>M24-#REF!</f>
        <v>#REF!</v>
      </c>
      <c r="O24" s="21" t="e">
        <f t="shared" si="5"/>
        <v>#REF!</v>
      </c>
    </row>
    <row r="25" spans="1:18" ht="15.75" thickBot="1" x14ac:dyDescent="0.3">
      <c r="A25" s="33"/>
      <c r="B25" s="34" t="s">
        <v>24</v>
      </c>
      <c r="C25" s="35"/>
      <c r="D25" s="62">
        <f>SUM(D16:D24)</f>
        <v>1330</v>
      </c>
      <c r="E25" s="35"/>
      <c r="F25" s="62">
        <f>SUM(F16:F24)</f>
        <v>29017</v>
      </c>
      <c r="G25" s="62">
        <f>SUM(G16:G24)</f>
        <v>4266.83</v>
      </c>
      <c r="H25" s="35"/>
      <c r="I25" s="62">
        <f>SUM(I16:I24)</f>
        <v>33283.83</v>
      </c>
      <c r="J25" s="37"/>
      <c r="M25" t="e">
        <f>#REF!/117*100</f>
        <v>#REF!</v>
      </c>
      <c r="O25" t="e">
        <f>M25*1.1</f>
        <v>#REF!</v>
      </c>
    </row>
    <row r="26" spans="1:18" ht="15.75" thickTop="1" x14ac:dyDescent="0.25">
      <c r="A26" s="33"/>
      <c r="B26" s="34" t="s">
        <v>1679</v>
      </c>
      <c r="C26" s="35"/>
      <c r="D26" s="35"/>
      <c r="E26" s="35"/>
      <c r="F26" s="35"/>
      <c r="G26" s="35"/>
      <c r="H26" s="35"/>
      <c r="I26" s="35"/>
      <c r="J26" s="37"/>
    </row>
    <row r="27" spans="1:18" x14ac:dyDescent="0.25">
      <c r="A27" s="33"/>
      <c r="B27" s="38" t="s">
        <v>25</v>
      </c>
      <c r="C27" s="35"/>
      <c r="D27" s="35"/>
      <c r="E27" s="35"/>
      <c r="F27" s="35"/>
      <c r="G27" s="35"/>
      <c r="H27" s="35"/>
      <c r="I27" s="35"/>
      <c r="J27" s="37"/>
      <c r="M27" s="64" t="e">
        <f>M25*#REF!</f>
        <v>#REF!</v>
      </c>
      <c r="O27" s="65" t="e">
        <f>#REF!</f>
        <v>#REF!</v>
      </c>
      <c r="P27" s="64" t="e">
        <f>O27-M27</f>
        <v>#REF!</v>
      </c>
      <c r="Q27" s="64" t="e">
        <f>#REF!*0.045</f>
        <v>#REF!</v>
      </c>
      <c r="R27" s="64" t="e">
        <f>P27-Q27</f>
        <v>#REF!</v>
      </c>
    </row>
    <row r="28" spans="1:18" ht="30" customHeight="1" x14ac:dyDescent="0.25">
      <c r="B28" s="183" t="s">
        <v>26</v>
      </c>
      <c r="C28" s="183"/>
      <c r="D28" s="183"/>
      <c r="E28" s="183"/>
      <c r="F28" s="183"/>
      <c r="G28" s="183"/>
      <c r="H28" s="183"/>
      <c r="I28" s="183"/>
      <c r="J28" s="183"/>
      <c r="P28" s="64"/>
      <c r="R28" s="65" t="e">
        <f>#REF!-#REF!</f>
        <v>#REF!</v>
      </c>
    </row>
    <row r="29" spans="1:18" x14ac:dyDescent="0.25">
      <c r="B29" t="s">
        <v>27</v>
      </c>
    </row>
    <row r="32" spans="1:18" x14ac:dyDescent="0.25">
      <c r="B32" t="s">
        <v>28</v>
      </c>
      <c r="H32" t="s">
        <v>28</v>
      </c>
    </row>
    <row r="33" spans="2:8" x14ac:dyDescent="0.25">
      <c r="B33" t="s">
        <v>29</v>
      </c>
      <c r="H33" t="s">
        <v>30</v>
      </c>
    </row>
  </sheetData>
  <autoFilter ref="A15:J29" xr:uid="{00000000-0009-0000-0000-000000000000}"/>
  <mergeCells count="5">
    <mergeCell ref="A6:J6"/>
    <mergeCell ref="I7:J7"/>
    <mergeCell ref="I8:J8"/>
    <mergeCell ref="I9:J9"/>
    <mergeCell ref="B28:J28"/>
  </mergeCells>
  <hyperlinks>
    <hyperlink ref="H5" r:id="rId1" xr:uid="{9B96B2A7-9A5C-40D2-AAD6-96B06C498147}"/>
  </hyperlinks>
  <pageMargins left="0.2" right="0.1" top="0.25" bottom="0.25" header="0.3" footer="0.3"/>
  <pageSetup paperSize="9" orientation="portrait" r:id="rId2"/>
  <drawing r:id="rId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ED32D-F0C3-49EF-AC73-7C3AB86E23D6}">
  <dimension ref="A1:R28"/>
  <sheetViews>
    <sheetView topLeftCell="A5" workbookViewId="0">
      <selection activeCell="C11" sqref="C1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1649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1648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1712</v>
      </c>
      <c r="D10" s="10"/>
      <c r="E10" s="10"/>
      <c r="F10" s="10"/>
    </row>
    <row r="11" spans="1:15" x14ac:dyDescent="0.25">
      <c r="B11" t="s">
        <v>11</v>
      </c>
      <c r="C11" s="10" t="s">
        <v>1641</v>
      </c>
      <c r="D11" s="11"/>
      <c r="E11" s="11"/>
      <c r="F11" s="11"/>
    </row>
    <row r="12" spans="1:15" x14ac:dyDescent="0.25">
      <c r="A12" s="12"/>
      <c r="B12" s="13"/>
      <c r="C12" s="14" t="s">
        <v>1642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1643</v>
      </c>
      <c r="C16" s="53" t="s">
        <v>987</v>
      </c>
      <c r="D16" s="79">
        <v>1</v>
      </c>
      <c r="E16" s="56">
        <v>8000</v>
      </c>
      <c r="F16" s="56">
        <f>D16*E16</f>
        <v>8000</v>
      </c>
      <c r="G16" s="56">
        <f t="shared" ref="G16:G19" si="0">F16*0.17</f>
        <v>1360</v>
      </c>
      <c r="H16" s="129">
        <f t="shared" ref="H16:H19" si="1">E16*1.17</f>
        <v>9360</v>
      </c>
      <c r="I16" s="56">
        <f>H16*D16</f>
        <v>9360</v>
      </c>
      <c r="J16" s="83"/>
      <c r="L16" s="21" t="s">
        <v>1572</v>
      </c>
      <c r="M16" s="21">
        <v>3300</v>
      </c>
      <c r="N16" s="66">
        <f>M16*D16</f>
        <v>3300</v>
      </c>
      <c r="O16" s="21">
        <f t="shared" ref="O16:O19" si="2">N16*D16</f>
        <v>3300</v>
      </c>
    </row>
    <row r="17" spans="1:18" s="21" customFormat="1" ht="15.75" x14ac:dyDescent="0.25">
      <c r="A17" s="53">
        <v>2</v>
      </c>
      <c r="B17" s="78" t="s">
        <v>1568</v>
      </c>
      <c r="C17" s="53" t="s">
        <v>987</v>
      </c>
      <c r="D17" s="79">
        <v>1</v>
      </c>
      <c r="E17" s="56">
        <v>5800</v>
      </c>
      <c r="F17" s="56">
        <f t="shared" ref="F17:F19" si="3">D17*E17</f>
        <v>5800</v>
      </c>
      <c r="G17" s="56">
        <f t="shared" si="0"/>
        <v>986.00000000000011</v>
      </c>
      <c r="H17" s="129">
        <f t="shared" si="1"/>
        <v>6786</v>
      </c>
      <c r="I17" s="56">
        <f t="shared" ref="I17:I19" si="4">H17*D17</f>
        <v>6786</v>
      </c>
      <c r="J17" s="83"/>
      <c r="N17" s="66"/>
    </row>
    <row r="18" spans="1:18" s="21" customFormat="1" ht="38.25" x14ac:dyDescent="0.25">
      <c r="A18" s="53">
        <v>3</v>
      </c>
      <c r="B18" s="78" t="s">
        <v>1644</v>
      </c>
      <c r="C18" s="53" t="s">
        <v>987</v>
      </c>
      <c r="D18" s="79">
        <v>1</v>
      </c>
      <c r="E18" s="56">
        <v>20000</v>
      </c>
      <c r="F18" s="56">
        <f t="shared" si="3"/>
        <v>20000</v>
      </c>
      <c r="G18" s="56">
        <f t="shared" si="0"/>
        <v>3400.0000000000005</v>
      </c>
      <c r="H18" s="129">
        <f t="shared" si="1"/>
        <v>23400</v>
      </c>
      <c r="I18" s="56">
        <f t="shared" si="4"/>
        <v>23400</v>
      </c>
      <c r="J18" s="83"/>
      <c r="N18" s="66"/>
    </row>
    <row r="19" spans="1:18" s="21" customFormat="1" x14ac:dyDescent="0.25">
      <c r="A19" s="53"/>
      <c r="B19" s="47"/>
      <c r="C19" s="82"/>
      <c r="D19" s="57"/>
      <c r="E19" s="56"/>
      <c r="F19" s="56">
        <f t="shared" si="3"/>
        <v>0</v>
      </c>
      <c r="G19" s="56">
        <f t="shared" si="0"/>
        <v>0</v>
      </c>
      <c r="H19" s="129">
        <f t="shared" si="1"/>
        <v>0</v>
      </c>
      <c r="I19" s="56">
        <f t="shared" si="4"/>
        <v>0</v>
      </c>
      <c r="J19" s="58"/>
      <c r="M19" s="21">
        <f t="shared" ref="M19" si="5">440*1.02</f>
        <v>448.8</v>
      </c>
      <c r="N19" s="66" t="e">
        <f>N16+#REF!</f>
        <v>#REF!</v>
      </c>
      <c r="O19" s="21" t="e">
        <f t="shared" si="2"/>
        <v>#REF!</v>
      </c>
    </row>
    <row r="20" spans="1:18" ht="15.75" thickBot="1" x14ac:dyDescent="0.3">
      <c r="A20" s="33"/>
      <c r="B20" s="34" t="s">
        <v>24</v>
      </c>
      <c r="C20" s="35"/>
      <c r="D20" s="62">
        <f>SUM(D16:D19)</f>
        <v>3</v>
      </c>
      <c r="E20" s="35"/>
      <c r="F20" s="62">
        <f>SUM(F16:F19)</f>
        <v>33800</v>
      </c>
      <c r="G20" s="62">
        <f>SUM(G16:G19)</f>
        <v>5746</v>
      </c>
      <c r="H20" s="35"/>
      <c r="I20" s="62">
        <f>SUM(I16:I19)</f>
        <v>39546</v>
      </c>
      <c r="J20" s="37"/>
      <c r="M20" t="e">
        <f>#REF!/117*100</f>
        <v>#REF!</v>
      </c>
      <c r="O20" t="e">
        <f>M20*1.1</f>
        <v>#REF!</v>
      </c>
    </row>
    <row r="21" spans="1:18" ht="15.75" thickTop="1" x14ac:dyDescent="0.25">
      <c r="A21" s="33"/>
      <c r="B21" s="34" t="s">
        <v>1711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 t="e">
        <f>M20*#REF!</f>
        <v>#REF!</v>
      </c>
      <c r="O22" s="65" t="e">
        <f>#REF!</f>
        <v>#REF!</v>
      </c>
      <c r="P22" s="64" t="e">
        <f>O22-M22</f>
        <v>#REF!</v>
      </c>
      <c r="Q22" s="64" t="e">
        <f>#REF!*0.045</f>
        <v>#REF!</v>
      </c>
      <c r="R22" s="64" t="e">
        <f>P22-Q22</f>
        <v>#REF!</v>
      </c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 t="e">
        <f>#REF!-#REF!</f>
        <v>#REF!</v>
      </c>
    </row>
    <row r="24" spans="1:18" x14ac:dyDescent="0.25">
      <c r="B24" t="s">
        <v>634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98BFB8C4-7551-4592-8AF8-9C3CA1DEABD5}"/>
  </hyperlinks>
  <pageMargins left="0.2" right="0.1" top="0.25" bottom="0.25" header="0.3" footer="0.3"/>
  <pageSetup paperSize="9" orientation="portrait" r:id="rId2"/>
  <drawing r:id="rId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C96D8-E161-4CF7-AC87-13BCFFDCE5D3}">
  <dimension ref="A1:R35"/>
  <sheetViews>
    <sheetView workbookViewId="0">
      <selection activeCell="A6" sqref="A6:J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1626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1627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1628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6" t="s">
        <v>1636</v>
      </c>
      <c r="M15" s="21" t="s">
        <v>738</v>
      </c>
    </row>
    <row r="16" spans="1:15" s="21" customFormat="1" x14ac:dyDescent="0.25">
      <c r="A16" s="53">
        <v>1</v>
      </c>
      <c r="B16" s="78" t="s">
        <v>260</v>
      </c>
      <c r="C16" s="53" t="s">
        <v>1234</v>
      </c>
      <c r="D16" s="79">
        <v>4</v>
      </c>
      <c r="E16" s="82">
        <v>35</v>
      </c>
      <c r="F16" s="56">
        <f>D16*E16</f>
        <v>140</v>
      </c>
      <c r="G16" s="56">
        <f>F16*0.17</f>
        <v>23.8</v>
      </c>
      <c r="H16" s="74">
        <f>E16*1.17</f>
        <v>40.949999999999996</v>
      </c>
      <c r="I16" s="56">
        <f>H16*D16</f>
        <v>163.79999999999998</v>
      </c>
      <c r="J16" s="131" t="s">
        <v>1639</v>
      </c>
      <c r="M16" s="21">
        <f t="shared" ref="M16:M26" si="0">440*1.02</f>
        <v>448.8</v>
      </c>
      <c r="N16" s="66" t="e">
        <f>M16-#REF!</f>
        <v>#REF!</v>
      </c>
      <c r="O16" s="21" t="e">
        <f t="shared" ref="O16:O26" si="1">N16*D16</f>
        <v>#REF!</v>
      </c>
    </row>
    <row r="17" spans="1:18" s="21" customFormat="1" x14ac:dyDescent="0.25">
      <c r="A17" s="53">
        <v>2</v>
      </c>
      <c r="B17" s="47" t="s">
        <v>1629</v>
      </c>
      <c r="C17" s="53" t="s">
        <v>1234</v>
      </c>
      <c r="D17" s="79">
        <v>10</v>
      </c>
      <c r="E17" s="82">
        <v>210</v>
      </c>
      <c r="F17" s="56">
        <f t="shared" ref="F17:F19" si="2">D17*E17</f>
        <v>2100</v>
      </c>
      <c r="G17" s="56">
        <f t="shared" ref="G17:G19" si="3">F17*0.17</f>
        <v>357</v>
      </c>
      <c r="H17" s="57">
        <f t="shared" ref="H17:H19" si="4">E17*1.17</f>
        <v>245.7</v>
      </c>
      <c r="I17" s="56">
        <f t="shared" ref="I17:I19" si="5">H17*D17</f>
        <v>2457</v>
      </c>
      <c r="J17" s="131" t="s">
        <v>1639</v>
      </c>
      <c r="M17" s="21">
        <f t="shared" si="0"/>
        <v>448.8</v>
      </c>
      <c r="N17" s="66" t="e">
        <f>M17-#REF!</f>
        <v>#REF!</v>
      </c>
      <c r="O17" s="21" t="e">
        <f t="shared" si="1"/>
        <v>#REF!</v>
      </c>
    </row>
    <row r="18" spans="1:18" s="21" customFormat="1" x14ac:dyDescent="0.25">
      <c r="A18" s="53">
        <v>3</v>
      </c>
      <c r="B18" s="47" t="s">
        <v>1630</v>
      </c>
      <c r="C18" s="53" t="s">
        <v>1234</v>
      </c>
      <c r="D18" s="79">
        <v>62</v>
      </c>
      <c r="E18" s="82">
        <v>25</v>
      </c>
      <c r="F18" s="56">
        <f t="shared" si="2"/>
        <v>1550</v>
      </c>
      <c r="G18" s="56">
        <f t="shared" si="3"/>
        <v>263.5</v>
      </c>
      <c r="H18" s="57">
        <f t="shared" si="4"/>
        <v>29.25</v>
      </c>
      <c r="I18" s="56">
        <f t="shared" si="5"/>
        <v>1813.5</v>
      </c>
      <c r="J18" s="131" t="s">
        <v>1639</v>
      </c>
      <c r="M18" s="21">
        <f t="shared" si="0"/>
        <v>448.8</v>
      </c>
      <c r="N18" s="66" t="e">
        <f>M18-#REF!</f>
        <v>#REF!</v>
      </c>
      <c r="O18" s="21" t="e">
        <f t="shared" si="1"/>
        <v>#REF!</v>
      </c>
    </row>
    <row r="19" spans="1:18" s="21" customFormat="1" x14ac:dyDescent="0.25">
      <c r="A19" s="53">
        <v>4</v>
      </c>
      <c r="B19" s="47" t="s">
        <v>1631</v>
      </c>
      <c r="C19" s="53" t="s">
        <v>1234</v>
      </c>
      <c r="D19" s="79">
        <v>54</v>
      </c>
      <c r="E19" s="82">
        <v>20</v>
      </c>
      <c r="F19" s="56">
        <f t="shared" si="2"/>
        <v>1080</v>
      </c>
      <c r="G19" s="56">
        <f t="shared" si="3"/>
        <v>183.60000000000002</v>
      </c>
      <c r="H19" s="57">
        <f t="shared" si="4"/>
        <v>23.4</v>
      </c>
      <c r="I19" s="56">
        <f t="shared" si="5"/>
        <v>1263.5999999999999</v>
      </c>
      <c r="J19" s="131" t="s">
        <v>1639</v>
      </c>
      <c r="M19" s="21">
        <f t="shared" si="0"/>
        <v>448.8</v>
      </c>
      <c r="N19" s="66" t="e">
        <f>M19-#REF!</f>
        <v>#REF!</v>
      </c>
      <c r="O19" s="21" t="e">
        <f t="shared" si="1"/>
        <v>#REF!</v>
      </c>
    </row>
    <row r="20" spans="1:18" s="21" customFormat="1" x14ac:dyDescent="0.25">
      <c r="A20" s="53">
        <v>5</v>
      </c>
      <c r="B20" s="47" t="s">
        <v>1632</v>
      </c>
      <c r="C20" s="53" t="s">
        <v>1234</v>
      </c>
      <c r="D20" s="79">
        <v>8</v>
      </c>
      <c r="E20" s="82">
        <v>170</v>
      </c>
      <c r="F20" s="56">
        <f t="shared" ref="F20:F22" si="6">D20*E20</f>
        <v>1360</v>
      </c>
      <c r="G20" s="56">
        <f t="shared" ref="G20:G21" si="7">F20*0.17</f>
        <v>231.20000000000002</v>
      </c>
      <c r="H20" s="57">
        <f t="shared" ref="H20:H21" si="8">E20*1.17</f>
        <v>198.89999999999998</v>
      </c>
      <c r="I20" s="56">
        <f t="shared" ref="I20:I22" si="9">H20*D20</f>
        <v>1591.1999999999998</v>
      </c>
      <c r="J20" s="131" t="s">
        <v>1639</v>
      </c>
      <c r="M20" s="21">
        <f t="shared" si="0"/>
        <v>448.8</v>
      </c>
      <c r="N20" s="66" t="e">
        <f>M20-#REF!</f>
        <v>#REF!</v>
      </c>
      <c r="O20" s="21" t="e">
        <f t="shared" ref="O20:O22" si="10">N20*D20</f>
        <v>#REF!</v>
      </c>
    </row>
    <row r="21" spans="1:18" s="21" customFormat="1" x14ac:dyDescent="0.25">
      <c r="A21" s="53">
        <v>6</v>
      </c>
      <c r="B21" s="47" t="s">
        <v>1633</v>
      </c>
      <c r="C21" s="53" t="s">
        <v>1234</v>
      </c>
      <c r="D21" s="79">
        <v>260</v>
      </c>
      <c r="E21" s="82">
        <v>32</v>
      </c>
      <c r="F21" s="56">
        <f t="shared" si="6"/>
        <v>8320</v>
      </c>
      <c r="G21" s="56">
        <f t="shared" si="7"/>
        <v>1414.4</v>
      </c>
      <c r="H21" s="57">
        <f t="shared" si="8"/>
        <v>37.44</v>
      </c>
      <c r="I21" s="56">
        <f t="shared" si="9"/>
        <v>9734.4</v>
      </c>
      <c r="J21" s="131" t="s">
        <v>1637</v>
      </c>
      <c r="M21" s="21">
        <f t="shared" si="0"/>
        <v>448.8</v>
      </c>
      <c r="N21" s="66" t="e">
        <f>M21-#REF!</f>
        <v>#REF!</v>
      </c>
      <c r="O21" s="21" t="e">
        <f t="shared" si="10"/>
        <v>#REF!</v>
      </c>
    </row>
    <row r="22" spans="1:18" s="21" customFormat="1" x14ac:dyDescent="0.25">
      <c r="A22" s="53">
        <v>7</v>
      </c>
      <c r="B22" s="47" t="s">
        <v>1252</v>
      </c>
      <c r="C22" s="53" t="s">
        <v>1234</v>
      </c>
      <c r="D22" s="79">
        <v>378</v>
      </c>
      <c r="E22" s="82">
        <v>25</v>
      </c>
      <c r="F22" s="56">
        <f t="shared" si="6"/>
        <v>9450</v>
      </c>
      <c r="G22" s="56">
        <f>F22*0</f>
        <v>0</v>
      </c>
      <c r="H22" s="57">
        <f>E22*1</f>
        <v>25</v>
      </c>
      <c r="I22" s="56">
        <f t="shared" si="9"/>
        <v>9450</v>
      </c>
      <c r="J22" s="131" t="s">
        <v>1638</v>
      </c>
      <c r="M22" s="21">
        <f t="shared" si="0"/>
        <v>448.8</v>
      </c>
      <c r="N22" s="66" t="e">
        <f>M22-#REF!</f>
        <v>#REF!</v>
      </c>
      <c r="O22" s="21" t="e">
        <f t="shared" si="10"/>
        <v>#REF!</v>
      </c>
    </row>
    <row r="23" spans="1:18" s="21" customFormat="1" x14ac:dyDescent="0.25">
      <c r="A23" s="53">
        <v>8</v>
      </c>
      <c r="B23" s="47" t="s">
        <v>1634</v>
      </c>
      <c r="C23" s="53" t="s">
        <v>1234</v>
      </c>
      <c r="D23" s="79">
        <v>15</v>
      </c>
      <c r="E23" s="82">
        <v>35</v>
      </c>
      <c r="F23" s="56">
        <f t="shared" ref="F23:F26" si="11">D23*E23</f>
        <v>525</v>
      </c>
      <c r="G23" s="56">
        <f t="shared" ref="G23:G26" si="12">F23*0.17</f>
        <v>89.25</v>
      </c>
      <c r="H23" s="57">
        <f t="shared" ref="H23:H26" si="13">E23*1.17</f>
        <v>40.949999999999996</v>
      </c>
      <c r="I23" s="56">
        <f t="shared" ref="I23:I26" si="14">H23*D23</f>
        <v>614.24999999999989</v>
      </c>
      <c r="J23" s="131" t="s">
        <v>1639</v>
      </c>
      <c r="M23" s="21">
        <f t="shared" si="0"/>
        <v>448.8</v>
      </c>
      <c r="N23" s="66" t="e">
        <f>M23-#REF!</f>
        <v>#REF!</v>
      </c>
      <c r="O23" s="21" t="e">
        <f t="shared" si="1"/>
        <v>#REF!</v>
      </c>
    </row>
    <row r="24" spans="1:18" s="21" customFormat="1" x14ac:dyDescent="0.25">
      <c r="A24" s="53">
        <v>9</v>
      </c>
      <c r="B24" s="47" t="s">
        <v>1249</v>
      </c>
      <c r="C24" s="53" t="s">
        <v>1234</v>
      </c>
      <c r="D24" s="79">
        <v>2</v>
      </c>
      <c r="E24" s="82">
        <v>290</v>
      </c>
      <c r="F24" s="56">
        <f t="shared" si="11"/>
        <v>580</v>
      </c>
      <c r="G24" s="56">
        <f t="shared" si="12"/>
        <v>98.600000000000009</v>
      </c>
      <c r="H24" s="57">
        <f t="shared" si="13"/>
        <v>339.29999999999995</v>
      </c>
      <c r="I24" s="56">
        <f t="shared" si="14"/>
        <v>678.59999999999991</v>
      </c>
      <c r="J24" s="131" t="s">
        <v>1639</v>
      </c>
      <c r="M24" s="21">
        <f t="shared" si="0"/>
        <v>448.8</v>
      </c>
      <c r="N24" s="66" t="e">
        <f>M24-#REF!</f>
        <v>#REF!</v>
      </c>
      <c r="O24" s="21" t="e">
        <f t="shared" si="1"/>
        <v>#REF!</v>
      </c>
    </row>
    <row r="25" spans="1:18" s="21" customFormat="1" x14ac:dyDescent="0.25">
      <c r="A25" s="53">
        <v>10</v>
      </c>
      <c r="B25" s="47" t="s">
        <v>1248</v>
      </c>
      <c r="C25" s="53" t="s">
        <v>1234</v>
      </c>
      <c r="D25" s="79">
        <v>350</v>
      </c>
      <c r="E25" s="82">
        <v>6</v>
      </c>
      <c r="F25" s="56">
        <f t="shared" si="11"/>
        <v>2100</v>
      </c>
      <c r="G25" s="56">
        <f>F25*0</f>
        <v>0</v>
      </c>
      <c r="H25" s="57">
        <f>E25*1</f>
        <v>6</v>
      </c>
      <c r="I25" s="56">
        <f t="shared" si="14"/>
        <v>2100</v>
      </c>
      <c r="J25" s="131" t="s">
        <v>1638</v>
      </c>
      <c r="M25" s="21">
        <f t="shared" si="0"/>
        <v>448.8</v>
      </c>
      <c r="N25" s="66" t="e">
        <f>M25-#REF!</f>
        <v>#REF!</v>
      </c>
      <c r="O25" s="21" t="e">
        <f t="shared" si="1"/>
        <v>#REF!</v>
      </c>
    </row>
    <row r="26" spans="1:18" s="21" customFormat="1" x14ac:dyDescent="0.25">
      <c r="A26" s="53"/>
      <c r="B26" s="47"/>
      <c r="C26" s="82"/>
      <c r="D26" s="57"/>
      <c r="E26" s="56"/>
      <c r="F26" s="56">
        <f t="shared" si="11"/>
        <v>0</v>
      </c>
      <c r="G26" s="56">
        <f t="shared" si="12"/>
        <v>0</v>
      </c>
      <c r="H26" s="57">
        <f t="shared" si="13"/>
        <v>0</v>
      </c>
      <c r="I26" s="56">
        <f t="shared" si="14"/>
        <v>0</v>
      </c>
      <c r="J26" s="58"/>
      <c r="M26" s="21">
        <f t="shared" si="0"/>
        <v>448.8</v>
      </c>
      <c r="N26" s="66" t="e">
        <f>M26-#REF!</f>
        <v>#REF!</v>
      </c>
      <c r="O26" s="21" t="e">
        <f t="shared" si="1"/>
        <v>#REF!</v>
      </c>
    </row>
    <row r="27" spans="1:18" ht="15.75" thickBot="1" x14ac:dyDescent="0.3">
      <c r="A27" s="33"/>
      <c r="B27" s="34" t="s">
        <v>24</v>
      </c>
      <c r="C27" s="35"/>
      <c r="D27" s="62">
        <f>SUM(D16:D26)</f>
        <v>1143</v>
      </c>
      <c r="E27" s="35"/>
      <c r="F27" s="62">
        <f>SUM(F16:F26)</f>
        <v>27205</v>
      </c>
      <c r="G27" s="62">
        <f>SUM(G16:G26)</f>
        <v>2661.35</v>
      </c>
      <c r="H27" s="35"/>
      <c r="I27" s="62">
        <f>SUM(I16:I26)</f>
        <v>29866.35</v>
      </c>
      <c r="J27" s="37"/>
      <c r="M27" t="e">
        <f>#REF!/117*100</f>
        <v>#REF!</v>
      </c>
      <c r="O27" t="e">
        <f>M27*1.1</f>
        <v>#REF!</v>
      </c>
    </row>
    <row r="28" spans="1:18" ht="15.75" thickTop="1" x14ac:dyDescent="0.25">
      <c r="A28" s="33"/>
      <c r="B28" s="34" t="s">
        <v>1635</v>
      </c>
      <c r="C28" s="35"/>
      <c r="D28" s="35"/>
      <c r="E28" s="35"/>
      <c r="F28" s="35"/>
      <c r="G28" s="35"/>
      <c r="H28" s="35"/>
      <c r="I28" s="35"/>
      <c r="J28" s="37"/>
    </row>
    <row r="29" spans="1:18" x14ac:dyDescent="0.25">
      <c r="A29" s="33"/>
      <c r="B29" s="38" t="s">
        <v>25</v>
      </c>
      <c r="C29" s="35"/>
      <c r="D29" s="35"/>
      <c r="E29" s="35"/>
      <c r="F29" s="35"/>
      <c r="G29" s="35"/>
      <c r="H29" s="35"/>
      <c r="I29" s="35"/>
      <c r="J29" s="37"/>
      <c r="M29" s="64" t="e">
        <f>M27*#REF!</f>
        <v>#REF!</v>
      </c>
      <c r="O29" s="65" t="e">
        <f>#REF!</f>
        <v>#REF!</v>
      </c>
      <c r="P29" s="64" t="e">
        <f>O29-M29</f>
        <v>#REF!</v>
      </c>
      <c r="Q29" s="64" t="e">
        <f>#REF!*0.045</f>
        <v>#REF!</v>
      </c>
      <c r="R29" s="64" t="e">
        <f>P29-Q29</f>
        <v>#REF!</v>
      </c>
    </row>
    <row r="30" spans="1:18" ht="30" customHeight="1" x14ac:dyDescent="0.25">
      <c r="B30" s="183" t="s">
        <v>26</v>
      </c>
      <c r="C30" s="183"/>
      <c r="D30" s="183"/>
      <c r="E30" s="183"/>
      <c r="F30" s="183"/>
      <c r="G30" s="183"/>
      <c r="H30" s="183"/>
      <c r="I30" s="183"/>
      <c r="J30" s="183"/>
      <c r="P30" s="64"/>
      <c r="R30" s="65" t="e">
        <f>#REF!-#REF!</f>
        <v>#REF!</v>
      </c>
    </row>
    <row r="31" spans="1:18" x14ac:dyDescent="0.25">
      <c r="B31" t="s">
        <v>27</v>
      </c>
    </row>
    <row r="34" spans="2:8" x14ac:dyDescent="0.25">
      <c r="B34" t="s">
        <v>28</v>
      </c>
      <c r="H34" t="s">
        <v>28</v>
      </c>
    </row>
    <row r="35" spans="2:8" x14ac:dyDescent="0.25">
      <c r="B35" t="s">
        <v>29</v>
      </c>
      <c r="H35" t="s">
        <v>30</v>
      </c>
    </row>
  </sheetData>
  <autoFilter ref="A15:J31" xr:uid="{00000000-0009-0000-0000-000000000000}"/>
  <mergeCells count="5">
    <mergeCell ref="A6:J6"/>
    <mergeCell ref="I7:J7"/>
    <mergeCell ref="I8:J8"/>
    <mergeCell ref="I9:J9"/>
    <mergeCell ref="B30:J30"/>
  </mergeCells>
  <hyperlinks>
    <hyperlink ref="H5" r:id="rId1" xr:uid="{C00865C3-9FE9-4A61-8F5D-3C90482E4C10}"/>
  </hyperlinks>
  <pageMargins left="0.2" right="0.1" top="0.25" bottom="0.2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68407-3631-4419-A162-B71553BBE6F8}">
  <dimension ref="A1:J32"/>
  <sheetViews>
    <sheetView topLeftCell="A8" workbookViewId="0">
      <selection activeCell="A18" sqref="A1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2285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2284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>
        <v>8800758944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x14ac:dyDescent="0.25">
      <c r="C14" s="75"/>
    </row>
    <row r="15" spans="1:10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0" s="21" customFormat="1" x14ac:dyDescent="0.25">
      <c r="A16" s="53">
        <v>1</v>
      </c>
      <c r="B16" s="78" t="s">
        <v>2286</v>
      </c>
      <c r="C16" s="53" t="s">
        <v>23</v>
      </c>
      <c r="D16" s="151">
        <v>100</v>
      </c>
      <c r="E16" s="85">
        <v>850</v>
      </c>
      <c r="F16" s="56">
        <f t="shared" ref="F16:F23" si="0">D16*E16</f>
        <v>85000</v>
      </c>
      <c r="G16" s="56">
        <f t="shared" ref="G16:G23" si="1">F16*0.17</f>
        <v>14450.000000000002</v>
      </c>
      <c r="H16" s="85">
        <f t="shared" ref="H16:H23" si="2">E16*1.17</f>
        <v>994.49999999999989</v>
      </c>
      <c r="I16" s="56">
        <f t="shared" ref="I16:I23" si="3">H16*D16</f>
        <v>99449.999999999985</v>
      </c>
      <c r="J16" s="58"/>
    </row>
    <row r="17" spans="1:10" s="21" customFormat="1" x14ac:dyDescent="0.25">
      <c r="A17" s="53">
        <v>2</v>
      </c>
      <c r="B17" s="78" t="s">
        <v>209</v>
      </c>
      <c r="C17" s="53" t="s">
        <v>23</v>
      </c>
      <c r="D17" s="151">
        <v>500</v>
      </c>
      <c r="E17" s="85">
        <v>40</v>
      </c>
      <c r="F17" s="56">
        <f t="shared" ref="F17:F20" si="4">D17*E17</f>
        <v>20000</v>
      </c>
      <c r="G17" s="56">
        <f t="shared" ref="G17:G20" si="5">F17*0.17</f>
        <v>3400.0000000000005</v>
      </c>
      <c r="H17" s="85">
        <f t="shared" ref="H17:H20" si="6">E17*1.17</f>
        <v>46.8</v>
      </c>
      <c r="I17" s="56">
        <f t="shared" ref="I17:I20" si="7">H17*D17</f>
        <v>23400</v>
      </c>
      <c r="J17" s="58"/>
    </row>
    <row r="18" spans="1:10" s="21" customFormat="1" x14ac:dyDescent="0.25">
      <c r="A18" s="53">
        <v>3</v>
      </c>
      <c r="B18" s="154" t="s">
        <v>2287</v>
      </c>
      <c r="C18" s="155" t="s">
        <v>23</v>
      </c>
      <c r="D18" s="156">
        <v>240</v>
      </c>
      <c r="E18" s="157">
        <v>8</v>
      </c>
      <c r="F18" s="158">
        <f t="shared" ref="F18:F19" si="8">D18*E18</f>
        <v>1920</v>
      </c>
      <c r="G18" s="158">
        <f t="shared" ref="G18:G19" si="9">F18*0.17</f>
        <v>326.40000000000003</v>
      </c>
      <c r="H18" s="157">
        <f t="shared" ref="H18:H19" si="10">E18*1.17</f>
        <v>9.36</v>
      </c>
      <c r="I18" s="158">
        <f t="shared" ref="I18:I19" si="11">H18*D18</f>
        <v>2246.3999999999996</v>
      </c>
      <c r="J18" s="58"/>
    </row>
    <row r="19" spans="1:10" s="21" customFormat="1" x14ac:dyDescent="0.25">
      <c r="A19" s="53">
        <v>4</v>
      </c>
      <c r="B19" s="78" t="s">
        <v>2288</v>
      </c>
      <c r="C19" s="53" t="s">
        <v>23</v>
      </c>
      <c r="D19" s="151">
        <v>500</v>
      </c>
      <c r="E19" s="85">
        <v>44</v>
      </c>
      <c r="F19" s="56">
        <f t="shared" si="8"/>
        <v>22000</v>
      </c>
      <c r="G19" s="56">
        <f t="shared" si="9"/>
        <v>3740.0000000000005</v>
      </c>
      <c r="H19" s="85">
        <f t="shared" si="10"/>
        <v>51.48</v>
      </c>
      <c r="I19" s="56">
        <f t="shared" si="11"/>
        <v>25740</v>
      </c>
      <c r="J19" s="58"/>
    </row>
    <row r="20" spans="1:10" s="21" customFormat="1" x14ac:dyDescent="0.25">
      <c r="A20" s="53">
        <v>5</v>
      </c>
      <c r="B20" s="78" t="s">
        <v>2289</v>
      </c>
      <c r="C20" s="53" t="s">
        <v>23</v>
      </c>
      <c r="D20" s="151">
        <v>1000</v>
      </c>
      <c r="E20" s="85">
        <v>22</v>
      </c>
      <c r="F20" s="56">
        <f t="shared" si="4"/>
        <v>22000</v>
      </c>
      <c r="G20" s="56">
        <f t="shared" si="5"/>
        <v>3740.0000000000005</v>
      </c>
      <c r="H20" s="85">
        <f t="shared" si="6"/>
        <v>25.74</v>
      </c>
      <c r="I20" s="56">
        <f t="shared" si="7"/>
        <v>25740</v>
      </c>
      <c r="J20" s="58"/>
    </row>
    <row r="21" spans="1:10" s="21" customFormat="1" x14ac:dyDescent="0.25">
      <c r="A21" s="53">
        <v>6</v>
      </c>
      <c r="B21" s="78" t="s">
        <v>175</v>
      </c>
      <c r="C21" s="53" t="s">
        <v>23</v>
      </c>
      <c r="D21" s="151">
        <v>200</v>
      </c>
      <c r="E21" s="85">
        <v>240</v>
      </c>
      <c r="F21" s="56">
        <f t="shared" si="0"/>
        <v>48000</v>
      </c>
      <c r="G21" s="56">
        <f t="shared" si="1"/>
        <v>8160.0000000000009</v>
      </c>
      <c r="H21" s="85">
        <f t="shared" si="2"/>
        <v>280.79999999999995</v>
      </c>
      <c r="I21" s="56">
        <f t="shared" si="3"/>
        <v>56159.999999999993</v>
      </c>
      <c r="J21" s="58"/>
    </row>
    <row r="22" spans="1:10" s="21" customFormat="1" x14ac:dyDescent="0.25">
      <c r="A22" s="53">
        <v>7</v>
      </c>
      <c r="B22" s="78" t="s">
        <v>1284</v>
      </c>
      <c r="C22" s="53" t="s">
        <v>23</v>
      </c>
      <c r="D22" s="151">
        <v>200</v>
      </c>
      <c r="E22" s="85">
        <v>98</v>
      </c>
      <c r="F22" s="56">
        <f t="shared" si="0"/>
        <v>19600</v>
      </c>
      <c r="G22" s="56">
        <f t="shared" si="1"/>
        <v>3332.0000000000005</v>
      </c>
      <c r="H22" s="85">
        <f t="shared" si="2"/>
        <v>114.66</v>
      </c>
      <c r="I22" s="56">
        <f t="shared" si="3"/>
        <v>22932</v>
      </c>
      <c r="J22" s="58"/>
    </row>
    <row r="23" spans="1:10" s="21" customFormat="1" x14ac:dyDescent="0.25">
      <c r="A23" s="53"/>
      <c r="B23" s="47"/>
      <c r="C23" s="82"/>
      <c r="D23" s="152"/>
      <c r="E23" s="56"/>
      <c r="F23" s="56">
        <f t="shared" si="0"/>
        <v>0</v>
      </c>
      <c r="G23" s="56">
        <f t="shared" si="1"/>
        <v>0</v>
      </c>
      <c r="H23" s="129">
        <f t="shared" si="2"/>
        <v>0</v>
      </c>
      <c r="I23" s="56">
        <f t="shared" si="3"/>
        <v>0</v>
      </c>
      <c r="J23" s="58"/>
    </row>
    <row r="24" spans="1:10" ht="15.75" thickBot="1" x14ac:dyDescent="0.3">
      <c r="A24" s="33"/>
      <c r="B24" s="34" t="s">
        <v>24</v>
      </c>
      <c r="C24" s="35"/>
      <c r="D24" s="153">
        <f>SUM(D16:D23)</f>
        <v>2740</v>
      </c>
      <c r="E24" s="35"/>
      <c r="F24" s="62">
        <f>SUM(F16:F23)</f>
        <v>218520</v>
      </c>
      <c r="G24" s="62">
        <f>SUM(G16:G23)</f>
        <v>37148.400000000009</v>
      </c>
      <c r="H24" s="35"/>
      <c r="I24" s="62">
        <f>SUM(I16:I23)</f>
        <v>255668.39999999997</v>
      </c>
      <c r="J24" s="37"/>
    </row>
    <row r="25" spans="1:10" ht="15.75" thickTop="1" x14ac:dyDescent="0.25">
      <c r="A25" s="33"/>
      <c r="B25" s="34" t="s">
        <v>2290</v>
      </c>
      <c r="C25" s="35"/>
      <c r="D25" s="35"/>
      <c r="E25" s="35"/>
      <c r="F25" s="35"/>
      <c r="G25" s="35"/>
      <c r="H25" s="35"/>
      <c r="I25" s="35"/>
      <c r="J25" s="37"/>
    </row>
    <row r="26" spans="1:10" x14ac:dyDescent="0.25">
      <c r="A26" s="33"/>
      <c r="B26" s="38" t="s">
        <v>25</v>
      </c>
      <c r="C26" s="35"/>
      <c r="D26" s="35"/>
      <c r="E26" s="35"/>
      <c r="F26" s="35"/>
      <c r="G26" s="35"/>
      <c r="H26" s="35"/>
      <c r="I26" s="35"/>
      <c r="J26" s="37"/>
    </row>
    <row r="27" spans="1:10" ht="30" customHeight="1" x14ac:dyDescent="0.25">
      <c r="B27" s="183" t="s">
        <v>26</v>
      </c>
      <c r="C27" s="183"/>
      <c r="D27" s="183"/>
      <c r="E27" s="183"/>
      <c r="F27" s="183"/>
      <c r="G27" s="183"/>
      <c r="H27" s="183"/>
      <c r="I27" s="183"/>
      <c r="J27" s="183"/>
    </row>
    <row r="28" spans="1:10" x14ac:dyDescent="0.25">
      <c r="B28" t="s">
        <v>634</v>
      </c>
    </row>
    <row r="31" spans="1:10" x14ac:dyDescent="0.25">
      <c r="B31" t="s">
        <v>28</v>
      </c>
      <c r="H31" t="s">
        <v>28</v>
      </c>
    </row>
    <row r="32" spans="1:10" x14ac:dyDescent="0.25">
      <c r="B32" t="s">
        <v>29</v>
      </c>
      <c r="H32" t="s">
        <v>30</v>
      </c>
    </row>
  </sheetData>
  <autoFilter ref="A15:J28" xr:uid="{00000000-0009-0000-0000-000000000000}"/>
  <mergeCells count="5">
    <mergeCell ref="A6:J6"/>
    <mergeCell ref="I7:J7"/>
    <mergeCell ref="I8:J8"/>
    <mergeCell ref="I9:J9"/>
    <mergeCell ref="B27:J27"/>
  </mergeCells>
  <hyperlinks>
    <hyperlink ref="H5" r:id="rId1" xr:uid="{135CB227-44A0-467C-96A0-35230751A08D}"/>
  </hyperlinks>
  <pageMargins left="0.2" right="0.1" top="0.25" bottom="0.25" header="0.3" footer="0.3"/>
  <pageSetup paperSize="9" orientation="portrait" r:id="rId2"/>
  <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0ADB8-37C1-4508-AA7F-AF4181CD9B99}">
  <dimension ref="A1:R28"/>
  <sheetViews>
    <sheetView workbookViewId="0">
      <selection activeCell="A2" sqref="A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1620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1619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1621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1622</v>
      </c>
      <c r="C16" s="53" t="s">
        <v>987</v>
      </c>
      <c r="D16" s="79">
        <v>20</v>
      </c>
      <c r="E16" s="56">
        <v>90</v>
      </c>
      <c r="F16" s="56">
        <f>D16*E16</f>
        <v>1800</v>
      </c>
      <c r="G16" s="56">
        <f>F16*0</f>
        <v>0</v>
      </c>
      <c r="H16" s="125">
        <f>E16*1</f>
        <v>90</v>
      </c>
      <c r="I16" s="56">
        <f t="shared" ref="I16:I18" si="0">H16*D16</f>
        <v>1800</v>
      </c>
      <c r="J16" s="83"/>
      <c r="N16" s="66"/>
    </row>
    <row r="17" spans="1:18" s="21" customFormat="1" ht="15.75" x14ac:dyDescent="0.25">
      <c r="A17" s="53">
        <v>2</v>
      </c>
      <c r="B17" s="78" t="s">
        <v>1623</v>
      </c>
      <c r="C17" s="53" t="s">
        <v>987</v>
      </c>
      <c r="D17" s="79">
        <v>50</v>
      </c>
      <c r="E17" s="56">
        <v>95</v>
      </c>
      <c r="F17" s="56">
        <f t="shared" ref="F17:F18" si="1">D17*E17</f>
        <v>4750</v>
      </c>
      <c r="G17" s="56">
        <f t="shared" ref="G17:G18" si="2">F17*0.17</f>
        <v>807.50000000000011</v>
      </c>
      <c r="H17" s="125">
        <f t="shared" ref="H17:H18" si="3">E17*1.17</f>
        <v>111.14999999999999</v>
      </c>
      <c r="I17" s="56">
        <f t="shared" si="0"/>
        <v>5557.5</v>
      </c>
      <c r="J17" s="83"/>
      <c r="N17" s="66"/>
    </row>
    <row r="18" spans="1:18" s="21" customFormat="1" ht="15.75" x14ac:dyDescent="0.25">
      <c r="A18" s="53">
        <v>3</v>
      </c>
      <c r="B18" s="78" t="s">
        <v>1624</v>
      </c>
      <c r="C18" s="53" t="s">
        <v>76</v>
      </c>
      <c r="D18" s="79">
        <v>200</v>
      </c>
      <c r="E18" s="56">
        <v>30</v>
      </c>
      <c r="F18" s="56">
        <f t="shared" si="1"/>
        <v>6000</v>
      </c>
      <c r="G18" s="56">
        <f t="shared" si="2"/>
        <v>1020.0000000000001</v>
      </c>
      <c r="H18" s="125">
        <f t="shared" si="3"/>
        <v>35.099999999999994</v>
      </c>
      <c r="I18" s="56">
        <f t="shared" si="0"/>
        <v>7019.9999999999991</v>
      </c>
      <c r="J18" s="83"/>
      <c r="N18" s="66"/>
    </row>
    <row r="19" spans="1:18" s="21" customFormat="1" x14ac:dyDescent="0.25">
      <c r="A19" s="53"/>
      <c r="B19" s="47"/>
      <c r="C19" s="53"/>
      <c r="D19" s="79"/>
      <c r="E19" s="56"/>
      <c r="F19" s="56"/>
      <c r="G19" s="56"/>
      <c r="H19" s="57"/>
      <c r="I19" s="56"/>
      <c r="J19" s="58"/>
      <c r="N19" s="66"/>
    </row>
    <row r="20" spans="1:18" ht="15.75" thickBot="1" x14ac:dyDescent="0.3">
      <c r="A20" s="33"/>
      <c r="B20" s="34" t="s">
        <v>24</v>
      </c>
      <c r="C20" s="35"/>
      <c r="D20" s="62">
        <f>SUM(D16:D19)</f>
        <v>270</v>
      </c>
      <c r="E20" s="35"/>
      <c r="F20" s="62">
        <f>SUM(F16:F19)</f>
        <v>12550</v>
      </c>
      <c r="G20" s="62">
        <f>SUM(G16:G19)</f>
        <v>1827.5000000000002</v>
      </c>
      <c r="H20" s="35"/>
      <c r="I20" s="62">
        <f>SUM(I16:I19)</f>
        <v>14377.5</v>
      </c>
      <c r="J20" s="37"/>
    </row>
    <row r="21" spans="1:18" ht="15.75" thickTop="1" x14ac:dyDescent="0.25">
      <c r="A21" s="33"/>
      <c r="B21" s="34" t="s">
        <v>1625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/>
      <c r="O22" s="65"/>
      <c r="P22" s="64"/>
      <c r="Q22" s="64"/>
      <c r="R22" s="64"/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/>
    </row>
    <row r="24" spans="1:18" x14ac:dyDescent="0.25">
      <c r="B24" t="s">
        <v>634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A33C04EF-F99E-458D-9F6B-B9499D4EF8BE}"/>
  </hyperlinks>
  <pageMargins left="0.2" right="0.1" top="0.25" bottom="0.25" header="0.3" footer="0.3"/>
  <pageSetup paperSize="9" orientation="portrait" r:id="rId2"/>
  <drawing r:id="rId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9EEB8-C6CD-4F7A-860E-E519E781D7C5}">
  <dimension ref="A1:J43"/>
  <sheetViews>
    <sheetView topLeftCell="A4" workbookViewId="0">
      <selection activeCell="A22" sqref="A2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1574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1600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1414</v>
      </c>
      <c r="D10" s="10"/>
      <c r="E10" s="10"/>
      <c r="F10" s="10"/>
    </row>
    <row r="11" spans="1:10" x14ac:dyDescent="0.25">
      <c r="B11" t="s">
        <v>11</v>
      </c>
      <c r="C11" s="10" t="s">
        <v>52</v>
      </c>
      <c r="D11" s="11"/>
      <c r="E11" s="11"/>
      <c r="F11" s="11"/>
    </row>
    <row r="12" spans="1:10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1413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1601</v>
      </c>
      <c r="C16" s="54" t="s">
        <v>825</v>
      </c>
      <c r="D16" s="72">
        <v>6</v>
      </c>
      <c r="E16" s="56">
        <v>150</v>
      </c>
      <c r="F16" s="56">
        <f t="shared" ref="F16:F33" si="0">D16*E16</f>
        <v>900</v>
      </c>
      <c r="G16" s="56">
        <f t="shared" ref="G16:G34" si="1">F16*0.17</f>
        <v>153</v>
      </c>
      <c r="H16" s="84">
        <f t="shared" ref="H16:H34" si="2">E16*1.17</f>
        <v>175.5</v>
      </c>
      <c r="I16" s="56">
        <f t="shared" ref="I16:I33" si="3">H16*D16</f>
        <v>1053</v>
      </c>
      <c r="J16" s="58"/>
    </row>
    <row r="17" spans="1:10" s="21" customFormat="1" x14ac:dyDescent="0.25">
      <c r="A17" s="53">
        <f>A16+1</f>
        <v>2</v>
      </c>
      <c r="B17" s="47" t="s">
        <v>1602</v>
      </c>
      <c r="C17" s="54" t="s">
        <v>825</v>
      </c>
      <c r="D17" s="72">
        <v>6</v>
      </c>
      <c r="E17" s="56">
        <v>150</v>
      </c>
      <c r="F17" s="56">
        <f t="shared" si="0"/>
        <v>900</v>
      </c>
      <c r="G17" s="56">
        <f t="shared" si="1"/>
        <v>153</v>
      </c>
      <c r="H17" s="84">
        <f t="shared" si="2"/>
        <v>175.5</v>
      </c>
      <c r="I17" s="56">
        <f t="shared" si="3"/>
        <v>1053</v>
      </c>
      <c r="J17" s="58"/>
    </row>
    <row r="18" spans="1:10" s="21" customFormat="1" x14ac:dyDescent="0.25">
      <c r="A18" s="53">
        <f t="shared" ref="A18:A33" si="4">A17+1</f>
        <v>3</v>
      </c>
      <c r="B18" s="47" t="s">
        <v>1603</v>
      </c>
      <c r="C18" s="54" t="s">
        <v>23</v>
      </c>
      <c r="D18" s="72">
        <v>2</v>
      </c>
      <c r="E18" s="56">
        <v>140</v>
      </c>
      <c r="F18" s="56">
        <f t="shared" si="0"/>
        <v>280</v>
      </c>
      <c r="G18" s="56">
        <f t="shared" si="1"/>
        <v>47.6</v>
      </c>
      <c r="H18" s="84">
        <f t="shared" si="2"/>
        <v>163.79999999999998</v>
      </c>
      <c r="I18" s="56">
        <f t="shared" si="3"/>
        <v>327.59999999999997</v>
      </c>
      <c r="J18" s="58"/>
    </row>
    <row r="19" spans="1:10" s="21" customFormat="1" x14ac:dyDescent="0.25">
      <c r="A19" s="53">
        <f t="shared" si="4"/>
        <v>4</v>
      </c>
      <c r="B19" s="47" t="s">
        <v>1604</v>
      </c>
      <c r="C19" s="54" t="s">
        <v>825</v>
      </c>
      <c r="D19" s="72">
        <v>35</v>
      </c>
      <c r="E19" s="56">
        <v>86</v>
      </c>
      <c r="F19" s="56">
        <f t="shared" si="0"/>
        <v>3010</v>
      </c>
      <c r="G19" s="56">
        <f t="shared" si="1"/>
        <v>511.70000000000005</v>
      </c>
      <c r="H19" s="84">
        <f t="shared" si="2"/>
        <v>100.61999999999999</v>
      </c>
      <c r="I19" s="56">
        <f t="shared" si="3"/>
        <v>3521.7</v>
      </c>
      <c r="J19" s="58"/>
    </row>
    <row r="20" spans="1:10" s="21" customFormat="1" x14ac:dyDescent="0.25">
      <c r="A20" s="53">
        <f t="shared" si="4"/>
        <v>5</v>
      </c>
      <c r="B20" s="47" t="s">
        <v>1605</v>
      </c>
      <c r="C20" s="54" t="s">
        <v>23</v>
      </c>
      <c r="D20" s="72">
        <v>10</v>
      </c>
      <c r="E20" s="56">
        <v>120</v>
      </c>
      <c r="F20" s="56">
        <f t="shared" si="0"/>
        <v>1200</v>
      </c>
      <c r="G20" s="56">
        <f t="shared" si="1"/>
        <v>204.00000000000003</v>
      </c>
      <c r="H20" s="84">
        <f t="shared" si="2"/>
        <v>140.39999999999998</v>
      </c>
      <c r="I20" s="56">
        <f t="shared" si="3"/>
        <v>1403.9999999999998</v>
      </c>
      <c r="J20" s="58"/>
    </row>
    <row r="21" spans="1:10" s="21" customFormat="1" x14ac:dyDescent="0.25">
      <c r="A21" s="53">
        <f t="shared" si="4"/>
        <v>6</v>
      </c>
      <c r="B21" s="47" t="s">
        <v>1606</v>
      </c>
      <c r="C21" s="54" t="s">
        <v>23</v>
      </c>
      <c r="D21" s="72">
        <v>2</v>
      </c>
      <c r="E21" s="56">
        <v>340</v>
      </c>
      <c r="F21" s="56">
        <f t="shared" si="0"/>
        <v>680</v>
      </c>
      <c r="G21" s="56">
        <f t="shared" si="1"/>
        <v>115.60000000000001</v>
      </c>
      <c r="H21" s="84">
        <f t="shared" si="2"/>
        <v>397.79999999999995</v>
      </c>
      <c r="I21" s="56">
        <f t="shared" si="3"/>
        <v>795.59999999999991</v>
      </c>
      <c r="J21" s="58"/>
    </row>
    <row r="22" spans="1:10" s="21" customFormat="1" x14ac:dyDescent="0.25">
      <c r="A22" s="53">
        <f t="shared" si="4"/>
        <v>7</v>
      </c>
      <c r="B22" s="47" t="s">
        <v>1607</v>
      </c>
      <c r="C22" s="54" t="s">
        <v>23</v>
      </c>
      <c r="D22" s="72">
        <v>12</v>
      </c>
      <c r="E22" s="56">
        <v>42</v>
      </c>
      <c r="F22" s="56">
        <f t="shared" si="0"/>
        <v>504</v>
      </c>
      <c r="G22" s="56">
        <f t="shared" si="1"/>
        <v>85.68</v>
      </c>
      <c r="H22" s="84">
        <f t="shared" si="2"/>
        <v>49.14</v>
      </c>
      <c r="I22" s="56">
        <f t="shared" si="3"/>
        <v>589.68000000000006</v>
      </c>
      <c r="J22" s="58"/>
    </row>
    <row r="23" spans="1:10" s="21" customFormat="1" x14ac:dyDescent="0.25">
      <c r="A23" s="53">
        <f t="shared" si="4"/>
        <v>8</v>
      </c>
      <c r="B23" s="47" t="s">
        <v>1608</v>
      </c>
      <c r="C23" s="54" t="s">
        <v>23</v>
      </c>
      <c r="D23" s="72">
        <v>3</v>
      </c>
      <c r="E23" s="56">
        <v>145</v>
      </c>
      <c r="F23" s="56">
        <f t="shared" si="0"/>
        <v>435</v>
      </c>
      <c r="G23" s="56">
        <f t="shared" si="1"/>
        <v>73.95</v>
      </c>
      <c r="H23" s="84">
        <f t="shared" si="2"/>
        <v>169.64999999999998</v>
      </c>
      <c r="I23" s="56">
        <f t="shared" si="3"/>
        <v>508.94999999999993</v>
      </c>
      <c r="J23" s="58"/>
    </row>
    <row r="24" spans="1:10" s="21" customFormat="1" x14ac:dyDescent="0.25">
      <c r="A24" s="53">
        <f t="shared" si="4"/>
        <v>9</v>
      </c>
      <c r="B24" s="47" t="s">
        <v>1609</v>
      </c>
      <c r="C24" s="54" t="s">
        <v>23</v>
      </c>
      <c r="D24" s="72">
        <v>12</v>
      </c>
      <c r="E24" s="56">
        <v>22</v>
      </c>
      <c r="F24" s="56">
        <f t="shared" si="0"/>
        <v>264</v>
      </c>
      <c r="G24" s="56">
        <f t="shared" si="1"/>
        <v>44.88</v>
      </c>
      <c r="H24" s="84">
        <f t="shared" si="2"/>
        <v>25.74</v>
      </c>
      <c r="I24" s="56">
        <f t="shared" si="3"/>
        <v>308.88</v>
      </c>
      <c r="J24" s="58"/>
    </row>
    <row r="25" spans="1:10" s="21" customFormat="1" x14ac:dyDescent="0.25">
      <c r="A25" s="53">
        <f t="shared" si="4"/>
        <v>10</v>
      </c>
      <c r="B25" s="47" t="s">
        <v>1610</v>
      </c>
      <c r="C25" s="54" t="s">
        <v>23</v>
      </c>
      <c r="D25" s="72">
        <v>3</v>
      </c>
      <c r="E25" s="56">
        <v>160</v>
      </c>
      <c r="F25" s="56">
        <f t="shared" ref="F25:F32" si="5">D25*E25</f>
        <v>480</v>
      </c>
      <c r="G25" s="56">
        <f t="shared" si="1"/>
        <v>81.600000000000009</v>
      </c>
      <c r="H25" s="84">
        <f t="shared" si="2"/>
        <v>187.2</v>
      </c>
      <c r="I25" s="56">
        <f t="shared" ref="I25:I32" si="6">H25*D25</f>
        <v>561.59999999999991</v>
      </c>
      <c r="J25" s="58"/>
    </row>
    <row r="26" spans="1:10" s="21" customFormat="1" x14ac:dyDescent="0.25">
      <c r="A26" s="53">
        <f t="shared" si="4"/>
        <v>11</v>
      </c>
      <c r="B26" s="47" t="s">
        <v>1611</v>
      </c>
      <c r="C26" s="54" t="s">
        <v>23</v>
      </c>
      <c r="D26" s="72">
        <v>4</v>
      </c>
      <c r="E26" s="56">
        <v>250</v>
      </c>
      <c r="F26" s="56">
        <f t="shared" si="5"/>
        <v>1000</v>
      </c>
      <c r="G26" s="56">
        <f t="shared" si="1"/>
        <v>170</v>
      </c>
      <c r="H26" s="84">
        <f t="shared" si="2"/>
        <v>292.5</v>
      </c>
      <c r="I26" s="56">
        <f t="shared" si="6"/>
        <v>1170</v>
      </c>
      <c r="J26" s="58"/>
    </row>
    <row r="27" spans="1:10" s="21" customFormat="1" x14ac:dyDescent="0.25">
      <c r="A27" s="53">
        <f t="shared" si="4"/>
        <v>12</v>
      </c>
      <c r="B27" s="47" t="s">
        <v>918</v>
      </c>
      <c r="C27" s="54" t="s">
        <v>23</v>
      </c>
      <c r="D27" s="72">
        <v>12</v>
      </c>
      <c r="E27" s="56">
        <v>20</v>
      </c>
      <c r="F27" s="56">
        <f t="shared" si="5"/>
        <v>240</v>
      </c>
      <c r="G27" s="56">
        <f t="shared" si="1"/>
        <v>40.800000000000004</v>
      </c>
      <c r="H27" s="84">
        <f t="shared" si="2"/>
        <v>23.4</v>
      </c>
      <c r="I27" s="56">
        <f t="shared" si="6"/>
        <v>280.79999999999995</v>
      </c>
      <c r="J27" s="58"/>
    </row>
    <row r="28" spans="1:10" s="21" customFormat="1" x14ac:dyDescent="0.25">
      <c r="A28" s="53">
        <f t="shared" si="4"/>
        <v>13</v>
      </c>
      <c r="B28" s="47" t="s">
        <v>1612</v>
      </c>
      <c r="C28" s="54" t="s">
        <v>23</v>
      </c>
      <c r="D28" s="72">
        <v>4</v>
      </c>
      <c r="E28" s="56">
        <v>155</v>
      </c>
      <c r="F28" s="56">
        <f t="shared" si="5"/>
        <v>620</v>
      </c>
      <c r="G28" s="56">
        <f t="shared" si="1"/>
        <v>105.4</v>
      </c>
      <c r="H28" s="84">
        <f t="shared" si="2"/>
        <v>181.35</v>
      </c>
      <c r="I28" s="56">
        <f t="shared" si="6"/>
        <v>725.4</v>
      </c>
      <c r="J28" s="58"/>
    </row>
    <row r="29" spans="1:10" s="21" customFormat="1" x14ac:dyDescent="0.25">
      <c r="A29" s="53">
        <f t="shared" si="4"/>
        <v>14</v>
      </c>
      <c r="B29" s="47" t="s">
        <v>1613</v>
      </c>
      <c r="C29" s="54" t="s">
        <v>23</v>
      </c>
      <c r="D29" s="72">
        <v>2</v>
      </c>
      <c r="E29" s="56">
        <v>180</v>
      </c>
      <c r="F29" s="56">
        <f t="shared" si="5"/>
        <v>360</v>
      </c>
      <c r="G29" s="56">
        <f t="shared" si="1"/>
        <v>61.2</v>
      </c>
      <c r="H29" s="84">
        <f t="shared" si="2"/>
        <v>210.6</v>
      </c>
      <c r="I29" s="56">
        <f t="shared" si="6"/>
        <v>421.2</v>
      </c>
      <c r="J29" s="58"/>
    </row>
    <row r="30" spans="1:10" s="21" customFormat="1" x14ac:dyDescent="0.25">
      <c r="A30" s="53">
        <f t="shared" si="4"/>
        <v>15</v>
      </c>
      <c r="B30" s="47" t="s">
        <v>1614</v>
      </c>
      <c r="C30" s="54" t="s">
        <v>23</v>
      </c>
      <c r="D30" s="72">
        <v>1</v>
      </c>
      <c r="E30" s="56">
        <v>340</v>
      </c>
      <c r="F30" s="56">
        <f t="shared" si="5"/>
        <v>340</v>
      </c>
      <c r="G30" s="56">
        <f t="shared" si="1"/>
        <v>57.800000000000004</v>
      </c>
      <c r="H30" s="84">
        <f t="shared" si="2"/>
        <v>397.79999999999995</v>
      </c>
      <c r="I30" s="56">
        <f t="shared" si="6"/>
        <v>397.79999999999995</v>
      </c>
      <c r="J30" s="58"/>
    </row>
    <row r="31" spans="1:10" s="21" customFormat="1" x14ac:dyDescent="0.25">
      <c r="A31" s="53">
        <f t="shared" si="4"/>
        <v>16</v>
      </c>
      <c r="B31" s="47" t="s">
        <v>1615</v>
      </c>
      <c r="C31" s="54" t="s">
        <v>23</v>
      </c>
      <c r="D31" s="72">
        <v>1</v>
      </c>
      <c r="E31" s="56">
        <v>90</v>
      </c>
      <c r="F31" s="56">
        <f t="shared" si="5"/>
        <v>90</v>
      </c>
      <c r="G31" s="56">
        <f t="shared" si="1"/>
        <v>15.3</v>
      </c>
      <c r="H31" s="84">
        <f t="shared" si="2"/>
        <v>105.3</v>
      </c>
      <c r="I31" s="56">
        <f t="shared" si="6"/>
        <v>105.3</v>
      </c>
      <c r="J31" s="58"/>
    </row>
    <row r="32" spans="1:10" s="21" customFormat="1" x14ac:dyDescent="0.25">
      <c r="A32" s="53">
        <f t="shared" si="4"/>
        <v>17</v>
      </c>
      <c r="B32" s="47" t="s">
        <v>1616</v>
      </c>
      <c r="C32" s="54" t="s">
        <v>23</v>
      </c>
      <c r="D32" s="72">
        <v>1</v>
      </c>
      <c r="E32" s="56">
        <v>350</v>
      </c>
      <c r="F32" s="56">
        <f t="shared" si="5"/>
        <v>350</v>
      </c>
      <c r="G32" s="56">
        <f t="shared" si="1"/>
        <v>59.500000000000007</v>
      </c>
      <c r="H32" s="84">
        <f t="shared" si="2"/>
        <v>409.5</v>
      </c>
      <c r="I32" s="56">
        <f t="shared" si="6"/>
        <v>409.5</v>
      </c>
      <c r="J32" s="58"/>
    </row>
    <row r="33" spans="1:10" s="21" customFormat="1" x14ac:dyDescent="0.25">
      <c r="A33" s="53">
        <f t="shared" si="4"/>
        <v>18</v>
      </c>
      <c r="B33" s="47" t="s">
        <v>1617</v>
      </c>
      <c r="C33" s="54" t="s">
        <v>23</v>
      </c>
      <c r="D33" s="72">
        <v>2</v>
      </c>
      <c r="E33" s="56">
        <v>220</v>
      </c>
      <c r="F33" s="56">
        <f t="shared" si="0"/>
        <v>440</v>
      </c>
      <c r="G33" s="56">
        <f t="shared" si="1"/>
        <v>74.800000000000011</v>
      </c>
      <c r="H33" s="84">
        <f t="shared" si="2"/>
        <v>257.39999999999998</v>
      </c>
      <c r="I33" s="56">
        <f t="shared" si="3"/>
        <v>514.79999999999995</v>
      </c>
      <c r="J33" s="58"/>
    </row>
    <row r="34" spans="1:10" s="21" customFormat="1" x14ac:dyDescent="0.25">
      <c r="A34" s="53"/>
      <c r="B34" s="47"/>
      <c r="C34" s="54"/>
      <c r="D34" s="72"/>
      <c r="E34" s="56"/>
      <c r="F34" s="56">
        <f t="shared" ref="F34" si="7">D34*E34</f>
        <v>0</v>
      </c>
      <c r="G34" s="56">
        <f t="shared" si="1"/>
        <v>0</v>
      </c>
      <c r="H34" s="84">
        <f t="shared" si="2"/>
        <v>0</v>
      </c>
      <c r="I34" s="56">
        <f t="shared" ref="I34" si="8">H34*D34</f>
        <v>0</v>
      </c>
      <c r="J34" s="58"/>
    </row>
    <row r="35" spans="1:10" ht="15.75" thickBot="1" x14ac:dyDescent="0.3">
      <c r="A35" s="33"/>
      <c r="B35" s="34" t="s">
        <v>24</v>
      </c>
      <c r="C35" s="35"/>
      <c r="D35" s="62">
        <f>SUM(D16:D33)</f>
        <v>118</v>
      </c>
      <c r="E35" s="35"/>
      <c r="F35" s="62">
        <f t="shared" ref="F35:G35" si="9">SUM(F16:F33)</f>
        <v>12093</v>
      </c>
      <c r="G35" s="62">
        <f t="shared" si="9"/>
        <v>2055.8100000000004</v>
      </c>
      <c r="H35" s="35"/>
      <c r="I35" s="62">
        <f>SUM(I16:I33)</f>
        <v>14148.809999999998</v>
      </c>
      <c r="J35" s="37"/>
    </row>
    <row r="36" spans="1:10" ht="15.75" thickTop="1" x14ac:dyDescent="0.25">
      <c r="A36" s="33"/>
      <c r="B36" s="34" t="s">
        <v>1618</v>
      </c>
      <c r="C36" s="35"/>
      <c r="D36" s="35"/>
      <c r="E36" s="35"/>
      <c r="F36" s="35"/>
      <c r="G36" s="35"/>
      <c r="H36" s="35"/>
      <c r="I36" s="35"/>
      <c r="J36" s="37"/>
    </row>
    <row r="37" spans="1:10" x14ac:dyDescent="0.25">
      <c r="A37" s="33"/>
      <c r="B37" s="38" t="s">
        <v>25</v>
      </c>
      <c r="C37" s="35"/>
      <c r="D37" s="35"/>
      <c r="E37" s="35"/>
      <c r="F37" s="35"/>
      <c r="G37" s="35"/>
      <c r="H37" s="35"/>
      <c r="I37" s="35"/>
      <c r="J37" s="37"/>
    </row>
    <row r="38" spans="1:10" ht="30" customHeight="1" x14ac:dyDescent="0.25">
      <c r="B38" s="183" t="s">
        <v>26</v>
      </c>
      <c r="C38" s="183"/>
      <c r="D38" s="183"/>
      <c r="E38" s="183"/>
      <c r="F38" s="183"/>
      <c r="G38" s="183"/>
      <c r="H38" s="183"/>
      <c r="I38" s="183"/>
      <c r="J38" s="183"/>
    </row>
    <row r="39" spans="1:10" x14ac:dyDescent="0.25">
      <c r="B39" t="s">
        <v>634</v>
      </c>
    </row>
    <row r="42" spans="1:10" x14ac:dyDescent="0.25">
      <c r="B42" t="s">
        <v>28</v>
      </c>
      <c r="H42" t="s">
        <v>28</v>
      </c>
    </row>
    <row r="43" spans="1:10" x14ac:dyDescent="0.25">
      <c r="B43" t="s">
        <v>29</v>
      </c>
      <c r="H43" t="s">
        <v>30</v>
      </c>
    </row>
  </sheetData>
  <autoFilter ref="A15:J39" xr:uid="{00000000-0009-0000-0000-000000000000}"/>
  <mergeCells count="5">
    <mergeCell ref="A6:J6"/>
    <mergeCell ref="I7:J7"/>
    <mergeCell ref="I8:J8"/>
    <mergeCell ref="I9:J9"/>
    <mergeCell ref="B38:J38"/>
  </mergeCells>
  <hyperlinks>
    <hyperlink ref="H5" r:id="rId1" xr:uid="{187FF722-90CB-426C-8B64-971C002B1F91}"/>
  </hyperlinks>
  <pageMargins left="0.2" right="0.1" top="0.25" bottom="0.25" header="0.3" footer="0.3"/>
  <pageSetup paperSize="9" orientation="portrait" r:id="rId2"/>
  <drawing r:id="rId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AE086-0D96-43D1-BE6D-B4CA5F512D90}">
  <dimension ref="A1:J27"/>
  <sheetViews>
    <sheetView workbookViewId="0">
      <selection activeCell="C14" sqref="C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1594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1595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1596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1597</v>
      </c>
      <c r="C16" s="54" t="s">
        <v>23</v>
      </c>
      <c r="D16" s="72">
        <v>20000</v>
      </c>
      <c r="E16" s="85">
        <v>3.8</v>
      </c>
      <c r="F16" s="56">
        <f t="shared" ref="F16:F17" si="0">D16*E16</f>
        <v>76000</v>
      </c>
      <c r="G16" s="56">
        <f>F16*0.17</f>
        <v>12920.000000000002</v>
      </c>
      <c r="H16" s="130">
        <f>E16*1.17</f>
        <v>4.4459999999999997</v>
      </c>
      <c r="I16" s="56">
        <f t="shared" ref="I16:I17" si="1">H16*D16</f>
        <v>88920</v>
      </c>
      <c r="J16" s="58"/>
    </row>
    <row r="17" spans="1:10" s="21" customFormat="1" ht="30" x14ac:dyDescent="0.25">
      <c r="A17" s="53">
        <v>2</v>
      </c>
      <c r="B17" s="47" t="s">
        <v>1598</v>
      </c>
      <c r="C17" s="54" t="s">
        <v>23</v>
      </c>
      <c r="D17" s="72">
        <v>10000</v>
      </c>
      <c r="E17" s="85">
        <v>4</v>
      </c>
      <c r="F17" s="56">
        <f t="shared" si="0"/>
        <v>40000</v>
      </c>
      <c r="G17" s="56">
        <f>F17*0.17</f>
        <v>6800.0000000000009</v>
      </c>
      <c r="H17" s="130">
        <f>E17*1.17</f>
        <v>4.68</v>
      </c>
      <c r="I17" s="56">
        <f t="shared" si="1"/>
        <v>46800</v>
      </c>
      <c r="J17" s="58"/>
    </row>
    <row r="18" spans="1:10" s="21" customFormat="1" x14ac:dyDescent="0.25">
      <c r="A18" s="53"/>
      <c r="B18" s="47"/>
      <c r="C18" s="54"/>
      <c r="D18" s="72"/>
      <c r="E18" s="56"/>
      <c r="F18" s="56"/>
      <c r="G18" s="56"/>
      <c r="H18" s="84"/>
      <c r="I18" s="56"/>
      <c r="J18" s="58"/>
    </row>
    <row r="19" spans="1:10" ht="15.75" thickBot="1" x14ac:dyDescent="0.3">
      <c r="A19" s="33"/>
      <c r="B19" s="34" t="s">
        <v>24</v>
      </c>
      <c r="C19" s="35"/>
      <c r="D19" s="73">
        <f>SUM(D16:D17)</f>
        <v>30000</v>
      </c>
      <c r="E19" s="35"/>
      <c r="F19" s="73">
        <f>SUM(F16:F17)</f>
        <v>116000</v>
      </c>
      <c r="G19" s="73">
        <f>SUM(G16:G17)</f>
        <v>19720.000000000004</v>
      </c>
      <c r="H19" s="35"/>
      <c r="I19" s="73">
        <f>SUM(I16:I17)</f>
        <v>135720</v>
      </c>
      <c r="J19" s="37"/>
    </row>
    <row r="20" spans="1:10" ht="15.75" thickTop="1" x14ac:dyDescent="0.25">
      <c r="A20" s="33"/>
      <c r="B20" s="34" t="s">
        <v>1599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634</v>
      </c>
    </row>
    <row r="26" spans="1:10" x14ac:dyDescent="0.25">
      <c r="B26" t="s">
        <v>28</v>
      </c>
      <c r="H26" t="s">
        <v>28</v>
      </c>
    </row>
    <row r="27" spans="1:10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D449C0DA-EDD8-4FD3-B719-6D9368D18BD7}"/>
  </hyperlinks>
  <pageMargins left="0.2" right="0.1" top="0.25" bottom="0.25" header="0.3" footer="0.3"/>
  <pageSetup paperSize="9" orientation="portrait" r:id="rId2"/>
  <drawing r:id="rId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BAA44-945B-46E6-BD31-C030AFA0A740}">
  <dimension ref="A1:R43"/>
  <sheetViews>
    <sheetView workbookViewId="0">
      <selection activeCell="C14" sqref="C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1574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1573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1575</v>
      </c>
      <c r="D10" s="10"/>
      <c r="E10" s="10"/>
      <c r="F10" s="10"/>
    </row>
    <row r="11" spans="1:15" x14ac:dyDescent="0.25">
      <c r="B11" t="s">
        <v>11</v>
      </c>
      <c r="C11" s="10" t="s">
        <v>1576</v>
      </c>
      <c r="D11" s="11"/>
      <c r="E11" s="11"/>
      <c r="F11" s="11"/>
    </row>
    <row r="12" spans="1:15" x14ac:dyDescent="0.25">
      <c r="A12" s="12"/>
      <c r="B12" s="13"/>
      <c r="C12" s="14" t="s">
        <v>1577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1981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1578</v>
      </c>
      <c r="C16" s="53" t="s">
        <v>76</v>
      </c>
      <c r="D16" s="79">
        <v>10</v>
      </c>
      <c r="E16" s="56">
        <v>25</v>
      </c>
      <c r="F16" s="56">
        <f>D16*E16</f>
        <v>250</v>
      </c>
      <c r="G16" s="56">
        <f t="shared" ref="G16:G34" si="0">F16*0.17</f>
        <v>42.5</v>
      </c>
      <c r="H16" s="129">
        <f t="shared" ref="H16:H34" si="1">E16*1.17</f>
        <v>29.25</v>
      </c>
      <c r="I16" s="56">
        <f>H16*D16</f>
        <v>292.5</v>
      </c>
      <c r="J16" s="83"/>
      <c r="L16" s="21" t="s">
        <v>1572</v>
      </c>
      <c r="M16" s="21">
        <f t="shared" ref="M16:M34" si="2">440*1.02</f>
        <v>448.8</v>
      </c>
      <c r="N16" s="66" t="e">
        <f>M16-#REF!</f>
        <v>#REF!</v>
      </c>
      <c r="O16" s="21" t="e">
        <f t="shared" ref="O16:O34" si="3">N16*D16</f>
        <v>#REF!</v>
      </c>
    </row>
    <row r="17" spans="1:14" s="21" customFormat="1" ht="15.75" x14ac:dyDescent="0.25">
      <c r="A17" s="53">
        <v>2</v>
      </c>
      <c r="B17" s="78" t="s">
        <v>1579</v>
      </c>
      <c r="C17" s="53" t="s">
        <v>76</v>
      </c>
      <c r="D17" s="79">
        <v>6</v>
      </c>
      <c r="E17" s="56">
        <v>78</v>
      </c>
      <c r="F17" s="56">
        <f t="shared" ref="F17:F20" si="4">D17*E17</f>
        <v>468</v>
      </c>
      <c r="G17" s="56">
        <f t="shared" ref="G17:G20" si="5">F17*0.17</f>
        <v>79.56</v>
      </c>
      <c r="H17" s="129">
        <f t="shared" ref="H17:H20" si="6">E17*1.17</f>
        <v>91.259999999999991</v>
      </c>
      <c r="I17" s="56">
        <f t="shared" ref="I17:I20" si="7">H17*D17</f>
        <v>547.55999999999995</v>
      </c>
      <c r="J17" s="83"/>
      <c r="N17" s="66"/>
    </row>
    <row r="18" spans="1:14" s="21" customFormat="1" ht="15.75" x14ac:dyDescent="0.25">
      <c r="A18" s="53">
        <v>3</v>
      </c>
      <c r="B18" s="78" t="s">
        <v>1580</v>
      </c>
      <c r="C18" s="53" t="s">
        <v>76</v>
      </c>
      <c r="D18" s="143">
        <v>5</v>
      </c>
      <c r="E18" s="56">
        <v>75</v>
      </c>
      <c r="F18" s="144">
        <f t="shared" si="4"/>
        <v>375</v>
      </c>
      <c r="G18" s="56">
        <f>F18*0</f>
        <v>0</v>
      </c>
      <c r="H18" s="129">
        <f>E18*1</f>
        <v>75</v>
      </c>
      <c r="I18" s="56">
        <f t="shared" si="7"/>
        <v>375</v>
      </c>
      <c r="J18" s="83"/>
      <c r="N18" s="66"/>
    </row>
    <row r="19" spans="1:14" s="21" customFormat="1" ht="15.75" x14ac:dyDescent="0.25">
      <c r="A19" s="53">
        <v>4</v>
      </c>
      <c r="B19" s="78" t="s">
        <v>1581</v>
      </c>
      <c r="C19" s="53" t="s">
        <v>76</v>
      </c>
      <c r="D19" s="79">
        <v>6</v>
      </c>
      <c r="E19" s="56">
        <v>15</v>
      </c>
      <c r="F19" s="56">
        <f t="shared" si="4"/>
        <v>90</v>
      </c>
      <c r="G19" s="56">
        <f t="shared" si="5"/>
        <v>15.3</v>
      </c>
      <c r="H19" s="129">
        <f t="shared" si="6"/>
        <v>17.549999999999997</v>
      </c>
      <c r="I19" s="56">
        <f t="shared" si="7"/>
        <v>105.29999999999998</v>
      </c>
      <c r="J19" s="83"/>
      <c r="N19" s="66"/>
    </row>
    <row r="20" spans="1:14" s="21" customFormat="1" ht="15.75" x14ac:dyDescent="0.25">
      <c r="A20" s="53">
        <v>5</v>
      </c>
      <c r="B20" s="78" t="s">
        <v>1582</v>
      </c>
      <c r="C20" s="53" t="s">
        <v>987</v>
      </c>
      <c r="D20" s="79">
        <v>4</v>
      </c>
      <c r="E20" s="56">
        <v>170</v>
      </c>
      <c r="F20" s="56">
        <f t="shared" si="4"/>
        <v>680</v>
      </c>
      <c r="G20" s="56">
        <f t="shared" si="5"/>
        <v>115.60000000000001</v>
      </c>
      <c r="H20" s="129">
        <f t="shared" si="6"/>
        <v>198.89999999999998</v>
      </c>
      <c r="I20" s="56">
        <f t="shared" si="7"/>
        <v>795.59999999999991</v>
      </c>
      <c r="J20" s="83"/>
      <c r="L20" s="21" t="s">
        <v>1571</v>
      </c>
      <c r="N20" s="66"/>
    </row>
    <row r="21" spans="1:14" s="21" customFormat="1" ht="15.75" x14ac:dyDescent="0.25">
      <c r="A21" s="53">
        <v>6</v>
      </c>
      <c r="B21" s="78" t="s">
        <v>1583</v>
      </c>
      <c r="C21" s="53" t="s">
        <v>987</v>
      </c>
      <c r="D21" s="79">
        <v>12</v>
      </c>
      <c r="E21" s="56">
        <v>30</v>
      </c>
      <c r="F21" s="56">
        <f t="shared" ref="F21:F34" si="8">D21*E21</f>
        <v>360</v>
      </c>
      <c r="G21" s="56">
        <f t="shared" si="0"/>
        <v>61.2</v>
      </c>
      <c r="H21" s="129">
        <f t="shared" si="1"/>
        <v>35.099999999999994</v>
      </c>
      <c r="I21" s="56">
        <f t="shared" ref="I21:I34" si="9">H21*D21</f>
        <v>421.19999999999993</v>
      </c>
      <c r="J21" s="83"/>
      <c r="N21" s="66"/>
    </row>
    <row r="22" spans="1:14" s="21" customFormat="1" ht="15.75" x14ac:dyDescent="0.25">
      <c r="A22" s="53">
        <v>7</v>
      </c>
      <c r="B22" s="78" t="s">
        <v>1584</v>
      </c>
      <c r="C22" s="53" t="s">
        <v>987</v>
      </c>
      <c r="D22" s="79">
        <v>8</v>
      </c>
      <c r="E22" s="56">
        <v>60</v>
      </c>
      <c r="F22" s="56">
        <f t="shared" si="8"/>
        <v>480</v>
      </c>
      <c r="G22" s="56">
        <f t="shared" si="0"/>
        <v>81.600000000000009</v>
      </c>
      <c r="H22" s="129">
        <f t="shared" si="1"/>
        <v>70.199999999999989</v>
      </c>
      <c r="I22" s="56">
        <f t="shared" si="9"/>
        <v>561.59999999999991</v>
      </c>
      <c r="J22" s="83"/>
      <c r="N22" s="66"/>
    </row>
    <row r="23" spans="1:14" s="21" customFormat="1" ht="15.75" x14ac:dyDescent="0.25">
      <c r="A23" s="53">
        <v>8</v>
      </c>
      <c r="B23" s="78" t="s">
        <v>1585</v>
      </c>
      <c r="C23" s="53" t="s">
        <v>76</v>
      </c>
      <c r="D23" s="79">
        <v>12</v>
      </c>
      <c r="E23" s="56">
        <v>30</v>
      </c>
      <c r="F23" s="56">
        <f t="shared" si="8"/>
        <v>360</v>
      </c>
      <c r="G23" s="56">
        <f t="shared" si="0"/>
        <v>61.2</v>
      </c>
      <c r="H23" s="129">
        <f t="shared" si="1"/>
        <v>35.099999999999994</v>
      </c>
      <c r="I23" s="56">
        <f t="shared" si="9"/>
        <v>421.19999999999993</v>
      </c>
      <c r="J23" s="83"/>
      <c r="N23" s="66"/>
    </row>
    <row r="24" spans="1:14" s="21" customFormat="1" ht="15.75" x14ac:dyDescent="0.25">
      <c r="A24" s="53">
        <v>9</v>
      </c>
      <c r="B24" s="78" t="s">
        <v>1586</v>
      </c>
      <c r="C24" s="53" t="s">
        <v>76</v>
      </c>
      <c r="D24" s="143">
        <v>8</v>
      </c>
      <c r="E24" s="56">
        <v>100</v>
      </c>
      <c r="F24" s="144">
        <f t="shared" si="8"/>
        <v>800</v>
      </c>
      <c r="G24" s="56">
        <f>F24*0</f>
        <v>0</v>
      </c>
      <c r="H24" s="129">
        <f>E24*1</f>
        <v>100</v>
      </c>
      <c r="I24" s="56">
        <f t="shared" si="9"/>
        <v>800</v>
      </c>
      <c r="J24" s="83"/>
      <c r="L24" s="21" t="s">
        <v>1571</v>
      </c>
      <c r="N24" s="66"/>
    </row>
    <row r="25" spans="1:14" s="21" customFormat="1" ht="15.75" x14ac:dyDescent="0.25">
      <c r="A25" s="53">
        <v>10</v>
      </c>
      <c r="B25" s="78" t="s">
        <v>1587</v>
      </c>
      <c r="C25" s="53" t="s">
        <v>987</v>
      </c>
      <c r="D25" s="79">
        <v>12</v>
      </c>
      <c r="E25" s="56">
        <v>45</v>
      </c>
      <c r="F25" s="56">
        <f t="shared" ref="F25" si="10">D25*E25</f>
        <v>540</v>
      </c>
      <c r="G25" s="56">
        <f t="shared" ref="G25" si="11">F25*0.17</f>
        <v>91.800000000000011</v>
      </c>
      <c r="H25" s="129">
        <f t="shared" ref="H25" si="12">E25*1.17</f>
        <v>52.65</v>
      </c>
      <c r="I25" s="56">
        <f t="shared" ref="I25" si="13">H25*D25</f>
        <v>631.79999999999995</v>
      </c>
      <c r="J25" s="83"/>
      <c r="N25" s="66"/>
    </row>
    <row r="26" spans="1:14" s="21" customFormat="1" ht="15.75" x14ac:dyDescent="0.25">
      <c r="A26" s="53">
        <v>11</v>
      </c>
      <c r="B26" s="78" t="s">
        <v>117</v>
      </c>
      <c r="C26" s="53" t="s">
        <v>987</v>
      </c>
      <c r="D26" s="79">
        <v>8</v>
      </c>
      <c r="E26" s="56">
        <v>55</v>
      </c>
      <c r="F26" s="56">
        <f>D26*E26</f>
        <v>440</v>
      </c>
      <c r="G26" s="56">
        <f>F26*0.17</f>
        <v>74.800000000000011</v>
      </c>
      <c r="H26" s="129">
        <f>E26*1.17</f>
        <v>64.349999999999994</v>
      </c>
      <c r="I26" s="56">
        <f>H26*D26</f>
        <v>514.79999999999995</v>
      </c>
      <c r="J26" s="83"/>
      <c r="L26" s="21" t="s">
        <v>1571</v>
      </c>
      <c r="N26" s="66"/>
    </row>
    <row r="27" spans="1:14" s="21" customFormat="1" ht="15.75" x14ac:dyDescent="0.25">
      <c r="A27" s="53">
        <v>12</v>
      </c>
      <c r="B27" s="78" t="s">
        <v>1588</v>
      </c>
      <c r="C27" s="53" t="s">
        <v>76</v>
      </c>
      <c r="D27" s="79">
        <v>2</v>
      </c>
      <c r="E27" s="56">
        <v>130</v>
      </c>
      <c r="F27" s="56">
        <f t="shared" ref="F27:F32" si="14">D27*E27</f>
        <v>260</v>
      </c>
      <c r="G27" s="56">
        <f t="shared" ref="G27:G30" si="15">F27*0.17</f>
        <v>44.2</v>
      </c>
      <c r="H27" s="129">
        <f t="shared" ref="H27:H30" si="16">E27*1.17</f>
        <v>152.1</v>
      </c>
      <c r="I27" s="56">
        <f t="shared" ref="I27:I32" si="17">H27*D27</f>
        <v>304.2</v>
      </c>
      <c r="J27" s="83"/>
      <c r="L27" s="21" t="s">
        <v>1571</v>
      </c>
      <c r="N27" s="66"/>
    </row>
    <row r="28" spans="1:14" s="21" customFormat="1" ht="15.75" x14ac:dyDescent="0.25">
      <c r="A28" s="53">
        <v>13</v>
      </c>
      <c r="B28" s="78" t="s">
        <v>417</v>
      </c>
      <c r="C28" s="53" t="s">
        <v>987</v>
      </c>
      <c r="D28" s="79">
        <v>12</v>
      </c>
      <c r="E28" s="56">
        <v>160</v>
      </c>
      <c r="F28" s="56">
        <f t="shared" si="14"/>
        <v>1920</v>
      </c>
      <c r="G28" s="56">
        <f t="shared" si="15"/>
        <v>326.40000000000003</v>
      </c>
      <c r="H28" s="129">
        <f t="shared" si="16"/>
        <v>187.2</v>
      </c>
      <c r="I28" s="56">
        <f t="shared" si="17"/>
        <v>2246.3999999999996</v>
      </c>
      <c r="J28" s="83"/>
      <c r="N28" s="66"/>
    </row>
    <row r="29" spans="1:14" s="21" customFormat="1" ht="15.75" x14ac:dyDescent="0.25">
      <c r="A29" s="53">
        <v>14</v>
      </c>
      <c r="B29" s="78" t="s">
        <v>1589</v>
      </c>
      <c r="C29" s="53" t="s">
        <v>76</v>
      </c>
      <c r="D29" s="79">
        <v>2</v>
      </c>
      <c r="E29" s="56">
        <v>160</v>
      </c>
      <c r="F29" s="56">
        <f t="shared" si="14"/>
        <v>320</v>
      </c>
      <c r="G29" s="56">
        <f t="shared" si="15"/>
        <v>54.400000000000006</v>
      </c>
      <c r="H29" s="129">
        <f t="shared" si="16"/>
        <v>187.2</v>
      </c>
      <c r="I29" s="56">
        <f t="shared" si="17"/>
        <v>374.4</v>
      </c>
      <c r="J29" s="83"/>
      <c r="N29" s="66"/>
    </row>
    <row r="30" spans="1:14" s="21" customFormat="1" ht="15.75" x14ac:dyDescent="0.25">
      <c r="A30" s="53">
        <v>15</v>
      </c>
      <c r="B30" s="78" t="s">
        <v>1590</v>
      </c>
      <c r="C30" s="53" t="s">
        <v>987</v>
      </c>
      <c r="D30" s="79">
        <v>100</v>
      </c>
      <c r="E30" s="85">
        <v>3.5</v>
      </c>
      <c r="F30" s="56">
        <f t="shared" si="14"/>
        <v>350</v>
      </c>
      <c r="G30" s="56">
        <f t="shared" si="15"/>
        <v>59.500000000000007</v>
      </c>
      <c r="H30" s="129">
        <f t="shared" si="16"/>
        <v>4.0949999999999998</v>
      </c>
      <c r="I30" s="56">
        <f t="shared" si="17"/>
        <v>409.5</v>
      </c>
      <c r="J30" s="83"/>
      <c r="N30" s="66"/>
    </row>
    <row r="31" spans="1:14" s="21" customFormat="1" ht="15.75" x14ac:dyDescent="0.25">
      <c r="A31" s="53">
        <v>16</v>
      </c>
      <c r="B31" s="78" t="s">
        <v>1591</v>
      </c>
      <c r="C31" s="53" t="s">
        <v>987</v>
      </c>
      <c r="D31" s="143">
        <v>100</v>
      </c>
      <c r="E31" s="85">
        <v>1.2</v>
      </c>
      <c r="F31" s="144">
        <f t="shared" si="14"/>
        <v>120</v>
      </c>
      <c r="G31" s="56">
        <f>F31*0</f>
        <v>0</v>
      </c>
      <c r="H31" s="129">
        <f>E31*1</f>
        <v>1.2</v>
      </c>
      <c r="I31" s="56">
        <f t="shared" si="17"/>
        <v>120</v>
      </c>
      <c r="J31" s="83"/>
      <c r="L31" s="21" t="s">
        <v>1571</v>
      </c>
      <c r="N31" s="66"/>
    </row>
    <row r="32" spans="1:14" s="21" customFormat="1" ht="15.75" x14ac:dyDescent="0.25">
      <c r="A32" s="53">
        <v>17</v>
      </c>
      <c r="B32" s="78" t="s">
        <v>1592</v>
      </c>
      <c r="C32" s="53" t="s">
        <v>987</v>
      </c>
      <c r="D32" s="79">
        <v>10</v>
      </c>
      <c r="E32" s="56">
        <v>45</v>
      </c>
      <c r="F32" s="56">
        <f t="shared" si="14"/>
        <v>450</v>
      </c>
      <c r="G32" s="56">
        <f t="shared" ref="G32" si="18">F32*0.17</f>
        <v>76.5</v>
      </c>
      <c r="H32" s="129">
        <f t="shared" ref="H32" si="19">E32*1.17</f>
        <v>52.65</v>
      </c>
      <c r="I32" s="56">
        <f t="shared" si="17"/>
        <v>526.5</v>
      </c>
      <c r="J32" s="83"/>
      <c r="N32" s="66"/>
    </row>
    <row r="33" spans="1:18" s="21" customFormat="1" ht="15.75" x14ac:dyDescent="0.25">
      <c r="A33" s="53">
        <v>18</v>
      </c>
      <c r="B33" s="78" t="s">
        <v>1378</v>
      </c>
      <c r="C33" s="53" t="s">
        <v>76</v>
      </c>
      <c r="D33" s="143">
        <v>2</v>
      </c>
      <c r="E33" s="56">
        <v>75</v>
      </c>
      <c r="F33" s="144">
        <f>D33*E33</f>
        <v>150</v>
      </c>
      <c r="G33" s="56">
        <f>F33*0</f>
        <v>0</v>
      </c>
      <c r="H33" s="129">
        <f>E33*1</f>
        <v>75</v>
      </c>
      <c r="I33" s="56">
        <f>H33*D33</f>
        <v>150</v>
      </c>
      <c r="J33" s="83"/>
      <c r="L33" s="21" t="s">
        <v>1571</v>
      </c>
      <c r="N33" s="66"/>
    </row>
    <row r="34" spans="1:18" s="21" customFormat="1" x14ac:dyDescent="0.25">
      <c r="A34" s="53"/>
      <c r="B34" s="47"/>
      <c r="C34" s="82"/>
      <c r="D34" s="57"/>
      <c r="E34" s="56"/>
      <c r="F34" s="56">
        <f t="shared" si="8"/>
        <v>0</v>
      </c>
      <c r="G34" s="56">
        <f t="shared" si="0"/>
        <v>0</v>
      </c>
      <c r="H34" s="129">
        <f t="shared" si="1"/>
        <v>0</v>
      </c>
      <c r="I34" s="56">
        <f t="shared" si="9"/>
        <v>0</v>
      </c>
      <c r="J34" s="58"/>
      <c r="M34" s="21">
        <f t="shared" si="2"/>
        <v>448.8</v>
      </c>
      <c r="N34" s="66" t="e">
        <f>M34-#REF!</f>
        <v>#REF!</v>
      </c>
      <c r="O34" s="21" t="e">
        <f t="shared" si="3"/>
        <v>#REF!</v>
      </c>
    </row>
    <row r="35" spans="1:18" ht="15.75" thickBot="1" x14ac:dyDescent="0.3">
      <c r="A35" s="33"/>
      <c r="B35" s="34" t="s">
        <v>24</v>
      </c>
      <c r="C35" s="35"/>
      <c r="D35" s="62">
        <f>SUM(D16:D34)</f>
        <v>319</v>
      </c>
      <c r="E35" s="35"/>
      <c r="F35" s="62">
        <f>SUM(F16:F34)</f>
        <v>8413</v>
      </c>
      <c r="G35" s="62">
        <f>SUM(G16:G34)</f>
        <v>1184.5600000000002</v>
      </c>
      <c r="H35" s="35"/>
      <c r="I35" s="62">
        <f>SUM(I16:I34)</f>
        <v>9597.56</v>
      </c>
      <c r="J35" s="37"/>
      <c r="M35" t="e">
        <f>#REF!/117*100</f>
        <v>#REF!</v>
      </c>
      <c r="O35" t="e">
        <f>M35*1.1</f>
        <v>#REF!</v>
      </c>
    </row>
    <row r="36" spans="1:18" ht="15.75" thickTop="1" x14ac:dyDescent="0.25">
      <c r="A36" s="33"/>
      <c r="B36" s="34" t="s">
        <v>1593</v>
      </c>
      <c r="C36" s="35"/>
      <c r="D36" s="35"/>
      <c r="E36" s="35"/>
      <c r="F36" s="35"/>
      <c r="G36" s="35"/>
      <c r="H36" s="35"/>
      <c r="I36" s="35"/>
      <c r="J36" s="37"/>
    </row>
    <row r="37" spans="1:18" x14ac:dyDescent="0.25">
      <c r="A37" s="33"/>
      <c r="B37" s="38" t="s">
        <v>25</v>
      </c>
      <c r="C37" s="35"/>
      <c r="D37" s="35"/>
      <c r="E37" s="35"/>
      <c r="F37" s="35"/>
      <c r="G37" s="35"/>
      <c r="H37" s="35"/>
      <c r="I37" s="35"/>
      <c r="J37" s="37"/>
      <c r="M37" s="64" t="e">
        <f>M35*#REF!</f>
        <v>#REF!</v>
      </c>
      <c r="O37" s="65" t="e">
        <f>#REF!</f>
        <v>#REF!</v>
      </c>
      <c r="P37" s="64" t="e">
        <f>O37-M37</f>
        <v>#REF!</v>
      </c>
      <c r="Q37" s="64" t="e">
        <f>#REF!*0.045</f>
        <v>#REF!</v>
      </c>
      <c r="R37" s="64" t="e">
        <f>P37-Q37</f>
        <v>#REF!</v>
      </c>
    </row>
    <row r="38" spans="1:18" ht="30" customHeight="1" x14ac:dyDescent="0.25">
      <c r="B38" s="183" t="s">
        <v>26</v>
      </c>
      <c r="C38" s="183"/>
      <c r="D38" s="183"/>
      <c r="E38" s="183"/>
      <c r="F38" s="183"/>
      <c r="G38" s="183"/>
      <c r="H38" s="183"/>
      <c r="I38" s="183"/>
      <c r="J38" s="183"/>
      <c r="P38" s="64"/>
      <c r="R38" s="65" t="e">
        <f>#REF!-#REF!</f>
        <v>#REF!</v>
      </c>
    </row>
    <row r="39" spans="1:18" x14ac:dyDescent="0.25">
      <c r="B39" t="s">
        <v>634</v>
      </c>
    </row>
    <row r="42" spans="1:18" x14ac:dyDescent="0.25">
      <c r="B42" t="s">
        <v>28</v>
      </c>
      <c r="H42" t="s">
        <v>28</v>
      </c>
    </row>
    <row r="43" spans="1:18" x14ac:dyDescent="0.25">
      <c r="B43" t="s">
        <v>29</v>
      </c>
      <c r="H43" t="s">
        <v>30</v>
      </c>
    </row>
  </sheetData>
  <autoFilter ref="A15:J39" xr:uid="{00000000-0009-0000-0000-000000000000}"/>
  <mergeCells count="5">
    <mergeCell ref="A6:J6"/>
    <mergeCell ref="I7:J7"/>
    <mergeCell ref="I8:J8"/>
    <mergeCell ref="I9:J9"/>
    <mergeCell ref="B38:J38"/>
  </mergeCells>
  <hyperlinks>
    <hyperlink ref="H5" r:id="rId1" xr:uid="{3C33C11E-0E44-43AF-8507-398E3FD4A9F0}"/>
  </hyperlinks>
  <pageMargins left="0.2" right="0.1" top="0.25" bottom="0.25" header="0.3" footer="0.3"/>
  <pageSetup paperSize="9" orientation="portrait" r:id="rId2"/>
  <drawing r:id="rId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AF4CA-3438-4FCF-83FA-5D8B9767A049}">
  <dimension ref="A1:R30"/>
  <sheetViews>
    <sheetView topLeftCell="A6" workbookViewId="0">
      <selection activeCell="C11" sqref="C11:G1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1564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1563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1640</v>
      </c>
      <c r="D10" s="10"/>
      <c r="E10" s="10"/>
      <c r="F10" s="10"/>
    </row>
    <row r="11" spans="1:15" x14ac:dyDescent="0.25">
      <c r="B11" t="s">
        <v>11</v>
      </c>
      <c r="C11" s="10" t="s">
        <v>1641</v>
      </c>
      <c r="D11" s="11"/>
      <c r="E11" s="11"/>
      <c r="F11" s="11"/>
    </row>
    <row r="12" spans="1:15" x14ac:dyDescent="0.25">
      <c r="A12" s="12"/>
      <c r="B12" s="13"/>
      <c r="C12" s="14" t="s">
        <v>1642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1565</v>
      </c>
      <c r="C16" s="53" t="s">
        <v>987</v>
      </c>
      <c r="D16" s="79">
        <v>3</v>
      </c>
      <c r="E16" s="56">
        <v>5800</v>
      </c>
      <c r="F16" s="56">
        <f>D16*E16</f>
        <v>17400</v>
      </c>
      <c r="G16" s="56">
        <f t="shared" ref="G16:G21" si="0">F16*0.17</f>
        <v>2958</v>
      </c>
      <c r="H16" s="129">
        <f t="shared" ref="H16:H21" si="1">E16*1.17</f>
        <v>6786</v>
      </c>
      <c r="I16" s="56">
        <f>H16*D16</f>
        <v>20358</v>
      </c>
      <c r="J16" s="83"/>
      <c r="L16" s="21" t="s">
        <v>1572</v>
      </c>
      <c r="M16" s="21">
        <v>3300</v>
      </c>
      <c r="N16" s="66">
        <f>M16*D16</f>
        <v>9900</v>
      </c>
      <c r="O16" s="21">
        <f t="shared" ref="O16:O21" si="2">N16*D16</f>
        <v>29700</v>
      </c>
    </row>
    <row r="17" spans="1:18" s="21" customFormat="1" ht="15.75" x14ac:dyDescent="0.25">
      <c r="A17" s="53">
        <v>2</v>
      </c>
      <c r="B17" s="78" t="s">
        <v>1566</v>
      </c>
      <c r="C17" s="53" t="s">
        <v>987</v>
      </c>
      <c r="D17" s="79">
        <v>6</v>
      </c>
      <c r="E17" s="56">
        <v>6000</v>
      </c>
      <c r="F17" s="56">
        <f t="shared" ref="F17:F21" si="3">D17*E17</f>
        <v>36000</v>
      </c>
      <c r="G17" s="56">
        <f t="shared" si="0"/>
        <v>6120</v>
      </c>
      <c r="H17" s="129">
        <f t="shared" si="1"/>
        <v>7020</v>
      </c>
      <c r="I17" s="56">
        <f t="shared" ref="I17:I21" si="4">H17*D17</f>
        <v>42120</v>
      </c>
      <c r="J17" s="83"/>
      <c r="N17" s="66"/>
    </row>
    <row r="18" spans="1:18" s="21" customFormat="1" ht="15.75" x14ac:dyDescent="0.25">
      <c r="A18" s="53">
        <v>3</v>
      </c>
      <c r="B18" s="78" t="s">
        <v>1567</v>
      </c>
      <c r="C18" s="53" t="s">
        <v>987</v>
      </c>
      <c r="D18" s="79">
        <v>2</v>
      </c>
      <c r="E18" s="56">
        <v>9600</v>
      </c>
      <c r="F18" s="56">
        <f t="shared" si="3"/>
        <v>19200</v>
      </c>
      <c r="G18" s="56">
        <f t="shared" si="0"/>
        <v>3264.0000000000005</v>
      </c>
      <c r="H18" s="129">
        <f t="shared" si="1"/>
        <v>11232</v>
      </c>
      <c r="I18" s="56">
        <f t="shared" si="4"/>
        <v>22464</v>
      </c>
      <c r="J18" s="83"/>
      <c r="N18" s="66"/>
    </row>
    <row r="19" spans="1:18" s="21" customFormat="1" ht="15.75" x14ac:dyDescent="0.25">
      <c r="A19" s="53">
        <v>4</v>
      </c>
      <c r="B19" s="78" t="s">
        <v>1568</v>
      </c>
      <c r="C19" s="53" t="s">
        <v>987</v>
      </c>
      <c r="D19" s="79">
        <v>2</v>
      </c>
      <c r="E19" s="56">
        <v>5800</v>
      </c>
      <c r="F19" s="56">
        <f t="shared" si="3"/>
        <v>11600</v>
      </c>
      <c r="G19" s="56">
        <f t="shared" si="0"/>
        <v>1972.0000000000002</v>
      </c>
      <c r="H19" s="129">
        <f t="shared" si="1"/>
        <v>6786</v>
      </c>
      <c r="I19" s="56">
        <f t="shared" si="4"/>
        <v>13572</v>
      </c>
      <c r="J19" s="83"/>
      <c r="N19" s="66"/>
    </row>
    <row r="20" spans="1:18" s="21" customFormat="1" ht="15.75" x14ac:dyDescent="0.25">
      <c r="A20" s="53">
        <v>5</v>
      </c>
      <c r="B20" s="78" t="s">
        <v>1569</v>
      </c>
      <c r="C20" s="53" t="s">
        <v>987</v>
      </c>
      <c r="D20" s="79">
        <v>4</v>
      </c>
      <c r="E20" s="56">
        <v>7000</v>
      </c>
      <c r="F20" s="56">
        <f t="shared" si="3"/>
        <v>28000</v>
      </c>
      <c r="G20" s="56">
        <f t="shared" si="0"/>
        <v>4760</v>
      </c>
      <c r="H20" s="129">
        <f t="shared" si="1"/>
        <v>8189.9999999999991</v>
      </c>
      <c r="I20" s="56">
        <f t="shared" si="4"/>
        <v>32759.999999999996</v>
      </c>
      <c r="J20" s="83"/>
      <c r="L20" s="21" t="s">
        <v>1571</v>
      </c>
      <c r="M20" s="21">
        <f>30*160</f>
        <v>4800</v>
      </c>
      <c r="N20" s="66">
        <f>M20*D20</f>
        <v>19200</v>
      </c>
    </row>
    <row r="21" spans="1:18" s="21" customFormat="1" x14ac:dyDescent="0.25">
      <c r="A21" s="53"/>
      <c r="B21" s="47"/>
      <c r="C21" s="82"/>
      <c r="D21" s="57"/>
      <c r="E21" s="56"/>
      <c r="F21" s="56">
        <f t="shared" si="3"/>
        <v>0</v>
      </c>
      <c r="G21" s="56">
        <f t="shared" si="0"/>
        <v>0</v>
      </c>
      <c r="H21" s="129">
        <f t="shared" si="1"/>
        <v>0</v>
      </c>
      <c r="I21" s="56">
        <f t="shared" si="4"/>
        <v>0</v>
      </c>
      <c r="J21" s="58"/>
      <c r="M21" s="21">
        <f t="shared" ref="M21" si="5">440*1.02</f>
        <v>448.8</v>
      </c>
      <c r="N21" s="66">
        <f>N16+N20</f>
        <v>29100</v>
      </c>
      <c r="O21" s="21">
        <f t="shared" si="2"/>
        <v>0</v>
      </c>
    </row>
    <row r="22" spans="1:18" ht="15.75" thickBot="1" x14ac:dyDescent="0.3">
      <c r="A22" s="33"/>
      <c r="B22" s="34" t="s">
        <v>24</v>
      </c>
      <c r="C22" s="35"/>
      <c r="D22" s="62">
        <f>SUM(D16:D21)</f>
        <v>17</v>
      </c>
      <c r="E22" s="35"/>
      <c r="F22" s="62">
        <f>SUM(F16:F21)</f>
        <v>112200</v>
      </c>
      <c r="G22" s="62">
        <f>SUM(G16:G21)</f>
        <v>19074</v>
      </c>
      <c r="H22" s="35"/>
      <c r="I22" s="62">
        <f>SUM(I16:I21)</f>
        <v>131274</v>
      </c>
      <c r="J22" s="37"/>
      <c r="M22" t="e">
        <f>#REF!/117*100</f>
        <v>#REF!</v>
      </c>
      <c r="O22" t="e">
        <f>M22*1.1</f>
        <v>#REF!</v>
      </c>
    </row>
    <row r="23" spans="1:18" ht="15.75" thickTop="1" x14ac:dyDescent="0.25">
      <c r="A23" s="33"/>
      <c r="B23" s="34" t="s">
        <v>1570</v>
      </c>
      <c r="C23" s="35"/>
      <c r="D23" s="35"/>
      <c r="E23" s="35"/>
      <c r="F23" s="35"/>
      <c r="G23" s="35"/>
      <c r="H23" s="35"/>
      <c r="I23" s="35"/>
      <c r="J23" s="37"/>
    </row>
    <row r="24" spans="1:18" x14ac:dyDescent="0.25">
      <c r="A24" s="33"/>
      <c r="B24" s="38" t="s">
        <v>25</v>
      </c>
      <c r="C24" s="35"/>
      <c r="D24" s="35"/>
      <c r="E24" s="35"/>
      <c r="F24" s="35"/>
      <c r="G24" s="35"/>
      <c r="H24" s="35"/>
      <c r="I24" s="35"/>
      <c r="J24" s="37"/>
      <c r="M24" s="64" t="e">
        <f>M22*#REF!</f>
        <v>#REF!</v>
      </c>
      <c r="O24" s="65" t="e">
        <f>#REF!</f>
        <v>#REF!</v>
      </c>
      <c r="P24" s="64" t="e">
        <f>O24-M24</f>
        <v>#REF!</v>
      </c>
      <c r="Q24" s="64" t="e">
        <f>#REF!*0.045</f>
        <v>#REF!</v>
      </c>
      <c r="R24" s="64" t="e">
        <f>P24-Q24</f>
        <v>#REF!</v>
      </c>
    </row>
    <row r="25" spans="1:18" ht="30" customHeight="1" x14ac:dyDescent="0.25">
      <c r="B25" s="183" t="s">
        <v>26</v>
      </c>
      <c r="C25" s="183"/>
      <c r="D25" s="183"/>
      <c r="E25" s="183"/>
      <c r="F25" s="183"/>
      <c r="G25" s="183"/>
      <c r="H25" s="183"/>
      <c r="I25" s="183"/>
      <c r="J25" s="183"/>
      <c r="P25" s="64"/>
      <c r="R25" s="65" t="e">
        <f>#REF!-#REF!</f>
        <v>#REF!</v>
      </c>
    </row>
    <row r="26" spans="1:18" x14ac:dyDescent="0.25">
      <c r="B26" t="s">
        <v>634</v>
      </c>
    </row>
    <row r="29" spans="1:18" x14ac:dyDescent="0.25">
      <c r="B29" t="s">
        <v>28</v>
      </c>
      <c r="H29" t="s">
        <v>28</v>
      </c>
    </row>
    <row r="30" spans="1:18" x14ac:dyDescent="0.25">
      <c r="B30" t="s">
        <v>29</v>
      </c>
      <c r="H30" t="s">
        <v>30</v>
      </c>
    </row>
  </sheetData>
  <autoFilter ref="A15:J26" xr:uid="{00000000-0009-0000-0000-000000000000}"/>
  <mergeCells count="5">
    <mergeCell ref="A6:J6"/>
    <mergeCell ref="I7:J7"/>
    <mergeCell ref="I8:J8"/>
    <mergeCell ref="I9:J9"/>
    <mergeCell ref="B25:J25"/>
  </mergeCells>
  <hyperlinks>
    <hyperlink ref="H5" r:id="rId1" xr:uid="{983C0B3D-9D92-47B5-818C-01583195E33D}"/>
  </hyperlinks>
  <pageMargins left="0.2" right="0.1" top="0.25" bottom="0.25" header="0.3" footer="0.3"/>
  <pageSetup paperSize="9" orientation="portrait" r:id="rId2"/>
  <drawing r:id="rId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A6DFD-6629-4B40-B5F8-1B788E940A82}">
  <dimension ref="A1:R29"/>
  <sheetViews>
    <sheetView topLeftCell="A7" workbookViewId="0">
      <selection activeCell="E16" sqref="E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1482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1558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1559</v>
      </c>
      <c r="J9" s="188"/>
    </row>
    <row r="10" spans="1:15" x14ac:dyDescent="0.25">
      <c r="B10" t="s">
        <v>9</v>
      </c>
      <c r="C10" s="10" t="s">
        <v>754</v>
      </c>
      <c r="D10" s="10"/>
      <c r="E10" s="10"/>
      <c r="F10" s="10"/>
    </row>
    <row r="11" spans="1:15" x14ac:dyDescent="0.25">
      <c r="B11" t="s">
        <v>11</v>
      </c>
      <c r="C11" s="10" t="s">
        <v>755</v>
      </c>
      <c r="D11" s="11"/>
      <c r="E11" s="11"/>
      <c r="F11" s="11"/>
    </row>
    <row r="12" spans="1:15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1560</v>
      </c>
      <c r="C16" s="53" t="s">
        <v>987</v>
      </c>
      <c r="D16" s="79">
        <v>40</v>
      </c>
      <c r="E16" s="56">
        <v>110</v>
      </c>
      <c r="F16" s="56">
        <f>D16*E16</f>
        <v>4400</v>
      </c>
      <c r="G16" s="56">
        <f t="shared" ref="G16:G20" si="0">F16*0.17</f>
        <v>748</v>
      </c>
      <c r="H16" s="74">
        <f t="shared" ref="H16:H20" si="1">E16*1.17</f>
        <v>128.69999999999999</v>
      </c>
      <c r="I16" s="56">
        <f>H16*D16</f>
        <v>5148</v>
      </c>
      <c r="J16" s="83"/>
      <c r="M16" s="21">
        <f t="shared" ref="M16:M20" si="2">440*1.02</f>
        <v>448.8</v>
      </c>
      <c r="N16" s="66" t="e">
        <f>M16-#REF!</f>
        <v>#REF!</v>
      </c>
      <c r="O16" s="21" t="e">
        <f t="shared" ref="O16:O20" si="3">N16*D16</f>
        <v>#REF!</v>
      </c>
    </row>
    <row r="17" spans="1:18" s="21" customFormat="1" ht="15.75" x14ac:dyDescent="0.25">
      <c r="A17" s="53">
        <v>2</v>
      </c>
      <c r="B17" s="78" t="s">
        <v>1561</v>
      </c>
      <c r="C17" s="53" t="s">
        <v>192</v>
      </c>
      <c r="D17" s="79">
        <v>2</v>
      </c>
      <c r="E17" s="56">
        <v>150</v>
      </c>
      <c r="F17" s="56">
        <f t="shared" ref="F17:F20" si="4">D17*E17</f>
        <v>300</v>
      </c>
      <c r="G17" s="56">
        <f t="shared" ref="G17:G18" si="5">F17*0.17</f>
        <v>51.000000000000007</v>
      </c>
      <c r="H17" s="74">
        <f t="shared" ref="H17:H18" si="6">E17*1.17</f>
        <v>175.5</v>
      </c>
      <c r="I17" s="56">
        <f t="shared" ref="I17:I20" si="7">H17*D17</f>
        <v>351</v>
      </c>
      <c r="J17" s="83"/>
      <c r="N17" s="66"/>
    </row>
    <row r="18" spans="1:18" s="21" customFormat="1" ht="15.75" x14ac:dyDescent="0.25">
      <c r="A18" s="53">
        <v>3</v>
      </c>
      <c r="B18" s="78" t="s">
        <v>1562</v>
      </c>
      <c r="C18" s="53" t="s">
        <v>987</v>
      </c>
      <c r="D18" s="79">
        <v>8</v>
      </c>
      <c r="E18" s="56">
        <v>110</v>
      </c>
      <c r="F18" s="56">
        <f t="shared" si="4"/>
        <v>880</v>
      </c>
      <c r="G18" s="56">
        <f t="shared" si="5"/>
        <v>149.60000000000002</v>
      </c>
      <c r="H18" s="74">
        <f t="shared" si="6"/>
        <v>128.69999999999999</v>
      </c>
      <c r="I18" s="56">
        <f t="shared" si="7"/>
        <v>1029.5999999999999</v>
      </c>
      <c r="J18" s="83"/>
      <c r="N18" s="66"/>
    </row>
    <row r="19" spans="1:18" s="21" customFormat="1" ht="15.75" x14ac:dyDescent="0.25">
      <c r="A19" s="53">
        <v>4</v>
      </c>
      <c r="B19" s="78" t="s">
        <v>1137</v>
      </c>
      <c r="C19" s="53" t="s">
        <v>193</v>
      </c>
      <c r="D19" s="79">
        <v>40</v>
      </c>
      <c r="E19" s="56">
        <v>18</v>
      </c>
      <c r="F19" s="56">
        <f t="shared" si="4"/>
        <v>720</v>
      </c>
      <c r="G19" s="56">
        <f t="shared" ref="G19" si="8">F19*0.17</f>
        <v>122.4</v>
      </c>
      <c r="H19" s="74">
        <f t="shared" ref="H19" si="9">E19*1.17</f>
        <v>21.06</v>
      </c>
      <c r="I19" s="56">
        <f t="shared" si="7"/>
        <v>842.4</v>
      </c>
      <c r="J19" s="83"/>
      <c r="N19" s="66"/>
    </row>
    <row r="20" spans="1:18" s="21" customFormat="1" x14ac:dyDescent="0.25">
      <c r="A20" s="53"/>
      <c r="B20" s="47"/>
      <c r="C20" s="82"/>
      <c r="D20" s="57"/>
      <c r="E20" s="56"/>
      <c r="F20" s="56">
        <f t="shared" si="4"/>
        <v>0</v>
      </c>
      <c r="G20" s="56">
        <f t="shared" si="0"/>
        <v>0</v>
      </c>
      <c r="H20" s="57">
        <f t="shared" si="1"/>
        <v>0</v>
      </c>
      <c r="I20" s="56">
        <f t="shared" si="7"/>
        <v>0</v>
      </c>
      <c r="J20" s="58"/>
      <c r="M20" s="21">
        <f t="shared" si="2"/>
        <v>448.8</v>
      </c>
      <c r="N20" s="66" t="e">
        <f>M20-#REF!</f>
        <v>#REF!</v>
      </c>
      <c r="O20" s="21" t="e">
        <f t="shared" si="3"/>
        <v>#REF!</v>
      </c>
    </row>
    <row r="21" spans="1:18" ht="15.75" thickBot="1" x14ac:dyDescent="0.3">
      <c r="A21" s="33"/>
      <c r="B21" s="34" t="s">
        <v>24</v>
      </c>
      <c r="C21" s="35"/>
      <c r="D21" s="62">
        <f>SUM(D16:D20)</f>
        <v>90</v>
      </c>
      <c r="E21" s="35"/>
      <c r="F21" s="62">
        <f>SUM(F16:F20)</f>
        <v>6300</v>
      </c>
      <c r="G21" s="62">
        <f>SUM(G16:G20)</f>
        <v>1071</v>
      </c>
      <c r="H21" s="35"/>
      <c r="I21" s="62">
        <f>SUM(I16:I20)</f>
        <v>7371</v>
      </c>
      <c r="J21" s="37"/>
      <c r="M21" t="e">
        <f>#REF!/117*100</f>
        <v>#REF!</v>
      </c>
      <c r="O21" t="e">
        <f>M21*1.1</f>
        <v>#REF!</v>
      </c>
    </row>
    <row r="22" spans="1:18" ht="15.75" thickTop="1" x14ac:dyDescent="0.25">
      <c r="A22" s="33"/>
      <c r="B22" s="34" t="s">
        <v>1702</v>
      </c>
      <c r="C22" s="35"/>
      <c r="D22" s="35"/>
      <c r="E22" s="35"/>
      <c r="F22" s="35"/>
      <c r="G22" s="35"/>
      <c r="H22" s="35"/>
      <c r="I22" s="35"/>
      <c r="J22" s="37"/>
    </row>
    <row r="23" spans="1:18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  <c r="M23" s="64" t="e">
        <f>M21*#REF!</f>
        <v>#REF!</v>
      </c>
      <c r="O23" s="65" t="e">
        <f>#REF!</f>
        <v>#REF!</v>
      </c>
      <c r="P23" s="64" t="e">
        <f>O23-M23</f>
        <v>#REF!</v>
      </c>
      <c r="Q23" s="64" t="e">
        <f>#REF!*0.045</f>
        <v>#REF!</v>
      </c>
      <c r="R23" s="64" t="e">
        <f>P23-Q23</f>
        <v>#REF!</v>
      </c>
    </row>
    <row r="24" spans="1:18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  <c r="P24" s="64"/>
      <c r="R24" s="65" t="e">
        <f>#REF!-#REF!</f>
        <v>#REF!</v>
      </c>
    </row>
    <row r="25" spans="1:18" x14ac:dyDescent="0.25">
      <c r="B25" t="s">
        <v>634</v>
      </c>
    </row>
    <row r="28" spans="1:18" x14ac:dyDescent="0.25">
      <c r="B28" t="s">
        <v>28</v>
      </c>
      <c r="H28" t="s">
        <v>28</v>
      </c>
    </row>
    <row r="29" spans="1:18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C135FEC6-D877-43CF-8142-CE8638F1C4A3}"/>
  </hyperlinks>
  <pageMargins left="0.2" right="0.1" top="0.25" bottom="0.25" header="0.3" footer="0.3"/>
  <pageSetup paperSize="9" orientation="portrait" r:id="rId2"/>
  <drawing r:id="rId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1B9B3-0311-40FE-ACF4-54C113952644}">
  <dimension ref="A1:R150"/>
  <sheetViews>
    <sheetView topLeftCell="A131" workbookViewId="0">
      <selection activeCell="D147" sqref="D14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1482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1483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1510</v>
      </c>
      <c r="J9" s="188"/>
    </row>
    <row r="10" spans="1:15" x14ac:dyDescent="0.25">
      <c r="B10" t="s">
        <v>9</v>
      </c>
      <c r="C10" s="10" t="s">
        <v>1484</v>
      </c>
      <c r="D10" s="10"/>
      <c r="E10" s="10"/>
      <c r="F10" s="10"/>
    </row>
    <row r="11" spans="1:15" x14ac:dyDescent="0.25">
      <c r="B11" t="s">
        <v>11</v>
      </c>
      <c r="C11" s="10" t="s">
        <v>1485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1908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24" x14ac:dyDescent="0.25">
      <c r="A16" s="128">
        <v>1</v>
      </c>
      <c r="B16" s="126" t="s">
        <v>1507</v>
      </c>
      <c r="C16" s="53" t="s">
        <v>1505</v>
      </c>
      <c r="D16" s="79">
        <v>1</v>
      </c>
      <c r="E16" s="82">
        <v>35</v>
      </c>
      <c r="F16" s="56">
        <f>D16*E16</f>
        <v>35</v>
      </c>
      <c r="G16" s="56">
        <f>F16*0.17</f>
        <v>5.95</v>
      </c>
      <c r="H16" s="85">
        <f>E16*1.17</f>
        <v>40.949999999999996</v>
      </c>
      <c r="I16" s="56">
        <f>H16*D16</f>
        <v>40.949999999999996</v>
      </c>
      <c r="J16" s="83" t="s">
        <v>1510</v>
      </c>
      <c r="M16" s="21">
        <f t="shared" ref="M16:M76" si="0">440*1.02</f>
        <v>448.8</v>
      </c>
      <c r="N16" s="66" t="e">
        <f>M16-#REF!</f>
        <v>#REF!</v>
      </c>
      <c r="O16" s="21" t="e">
        <f t="shared" ref="O16:O76" si="1">N16*D16</f>
        <v>#REF!</v>
      </c>
    </row>
    <row r="17" spans="1:15" s="21" customFormat="1" ht="24" x14ac:dyDescent="0.2">
      <c r="A17" s="128">
        <f>A16+1</f>
        <v>2</v>
      </c>
      <c r="B17" s="127" t="s">
        <v>1508</v>
      </c>
      <c r="C17" s="53" t="s">
        <v>1505</v>
      </c>
      <c r="D17" s="79">
        <v>1</v>
      </c>
      <c r="E17" s="82">
        <v>55</v>
      </c>
      <c r="F17" s="56">
        <f t="shared" ref="F17:F31" si="2">D17*E17</f>
        <v>55</v>
      </c>
      <c r="G17" s="56">
        <f t="shared" ref="G17:G31" si="3">F17*0.17</f>
        <v>9.3500000000000014</v>
      </c>
      <c r="H17" s="85">
        <f t="shared" ref="H17:H31" si="4">E17*1.17</f>
        <v>64.349999999999994</v>
      </c>
      <c r="I17" s="56">
        <f t="shared" ref="I17:I31" si="5">H17*D17</f>
        <v>64.349999999999994</v>
      </c>
      <c r="J17" s="83" t="s">
        <v>1510</v>
      </c>
      <c r="M17" s="21">
        <f t="shared" si="0"/>
        <v>448.8</v>
      </c>
      <c r="N17" s="66" t="e">
        <f>M17-#REF!</f>
        <v>#REF!</v>
      </c>
      <c r="O17" s="21" t="e">
        <f t="shared" si="1"/>
        <v>#REF!</v>
      </c>
    </row>
    <row r="18" spans="1:15" s="21" customFormat="1" ht="24" x14ac:dyDescent="0.2">
      <c r="A18" s="128">
        <f t="shared" ref="A18:A81" si="6">A17+1</f>
        <v>3</v>
      </c>
      <c r="B18" s="127" t="s">
        <v>1509</v>
      </c>
      <c r="C18" s="53" t="s">
        <v>1505</v>
      </c>
      <c r="D18" s="79">
        <v>1</v>
      </c>
      <c r="E18" s="82">
        <v>75</v>
      </c>
      <c r="F18" s="56">
        <f t="shared" si="2"/>
        <v>75</v>
      </c>
      <c r="G18" s="56">
        <f t="shared" si="3"/>
        <v>12.750000000000002</v>
      </c>
      <c r="H18" s="85">
        <f t="shared" si="4"/>
        <v>87.75</v>
      </c>
      <c r="I18" s="56">
        <f t="shared" si="5"/>
        <v>87.75</v>
      </c>
      <c r="J18" s="83" t="s">
        <v>1510</v>
      </c>
      <c r="M18" s="21">
        <f t="shared" si="0"/>
        <v>448.8</v>
      </c>
      <c r="N18" s="66" t="e">
        <f>M18-#REF!</f>
        <v>#REF!</v>
      </c>
      <c r="O18" s="21" t="e">
        <f t="shared" si="1"/>
        <v>#REF!</v>
      </c>
    </row>
    <row r="19" spans="1:15" s="21" customFormat="1" ht="15.75" x14ac:dyDescent="0.2">
      <c r="A19" s="128">
        <f t="shared" si="6"/>
        <v>4</v>
      </c>
      <c r="B19" s="127" t="s">
        <v>1486</v>
      </c>
      <c r="C19" s="53" t="s">
        <v>1506</v>
      </c>
      <c r="D19" s="79">
        <v>12</v>
      </c>
      <c r="E19" s="82">
        <v>90</v>
      </c>
      <c r="F19" s="56">
        <f t="shared" si="2"/>
        <v>1080</v>
      </c>
      <c r="G19" s="56">
        <f t="shared" si="3"/>
        <v>183.60000000000002</v>
      </c>
      <c r="H19" s="85">
        <f t="shared" si="4"/>
        <v>105.3</v>
      </c>
      <c r="I19" s="56">
        <f t="shared" si="5"/>
        <v>1263.5999999999999</v>
      </c>
      <c r="J19" s="83" t="s">
        <v>1510</v>
      </c>
      <c r="M19" s="21">
        <f t="shared" si="0"/>
        <v>448.8</v>
      </c>
      <c r="N19" s="66" t="e">
        <f>M19-#REF!</f>
        <v>#REF!</v>
      </c>
      <c r="O19" s="21" t="e">
        <f t="shared" si="1"/>
        <v>#REF!</v>
      </c>
    </row>
    <row r="20" spans="1:15" s="21" customFormat="1" ht="15.75" x14ac:dyDescent="0.2">
      <c r="A20" s="128">
        <f t="shared" si="6"/>
        <v>5</v>
      </c>
      <c r="B20" s="127" t="s">
        <v>1487</v>
      </c>
      <c r="C20" s="53" t="s">
        <v>1506</v>
      </c>
      <c r="D20" s="79">
        <v>12</v>
      </c>
      <c r="E20" s="82">
        <v>155</v>
      </c>
      <c r="F20" s="56">
        <f t="shared" si="2"/>
        <v>1860</v>
      </c>
      <c r="G20" s="56">
        <f t="shared" si="3"/>
        <v>316.20000000000005</v>
      </c>
      <c r="H20" s="85">
        <f t="shared" si="4"/>
        <v>181.35</v>
      </c>
      <c r="I20" s="56">
        <f t="shared" si="5"/>
        <v>2176.1999999999998</v>
      </c>
      <c r="J20" s="83" t="s">
        <v>1510</v>
      </c>
      <c r="M20" s="21">
        <f t="shared" si="0"/>
        <v>448.8</v>
      </c>
      <c r="N20" s="66" t="e">
        <f>M20-#REF!</f>
        <v>#REF!</v>
      </c>
      <c r="O20" s="21" t="e">
        <f t="shared" si="1"/>
        <v>#REF!</v>
      </c>
    </row>
    <row r="21" spans="1:15" s="21" customFormat="1" ht="24" x14ac:dyDescent="0.2">
      <c r="A21" s="128">
        <f t="shared" si="6"/>
        <v>6</v>
      </c>
      <c r="B21" s="127" t="s">
        <v>1488</v>
      </c>
      <c r="C21" s="53" t="s">
        <v>1505</v>
      </c>
      <c r="D21" s="79">
        <v>1</v>
      </c>
      <c r="E21" s="82">
        <v>300</v>
      </c>
      <c r="F21" s="56">
        <f t="shared" si="2"/>
        <v>300</v>
      </c>
      <c r="G21" s="56">
        <f>F21*0</f>
        <v>0</v>
      </c>
      <c r="H21" s="85">
        <f>E21*1</f>
        <v>300</v>
      </c>
      <c r="I21" s="56">
        <f t="shared" si="5"/>
        <v>300</v>
      </c>
      <c r="J21" s="83" t="s">
        <v>1510</v>
      </c>
      <c r="M21" s="21">
        <f t="shared" si="0"/>
        <v>448.8</v>
      </c>
      <c r="N21" s="66" t="e">
        <f>M21-#REF!</f>
        <v>#REF!</v>
      </c>
      <c r="O21" s="21" t="e">
        <f t="shared" si="1"/>
        <v>#REF!</v>
      </c>
    </row>
    <row r="22" spans="1:15" s="21" customFormat="1" ht="15.75" x14ac:dyDescent="0.2">
      <c r="A22" s="128">
        <f t="shared" si="6"/>
        <v>7</v>
      </c>
      <c r="B22" s="127" t="s">
        <v>1489</v>
      </c>
      <c r="C22" s="53" t="s">
        <v>1506</v>
      </c>
      <c r="D22" s="79">
        <v>12</v>
      </c>
      <c r="E22" s="82">
        <v>12</v>
      </c>
      <c r="F22" s="56">
        <f t="shared" si="2"/>
        <v>144</v>
      </c>
      <c r="G22" s="56">
        <f t="shared" si="3"/>
        <v>24.48</v>
      </c>
      <c r="H22" s="85">
        <f t="shared" si="4"/>
        <v>14.04</v>
      </c>
      <c r="I22" s="56">
        <f t="shared" si="5"/>
        <v>168.48</v>
      </c>
      <c r="J22" s="83" t="s">
        <v>1510</v>
      </c>
      <c r="M22" s="21">
        <f t="shared" si="0"/>
        <v>448.8</v>
      </c>
      <c r="N22" s="66" t="e">
        <f>M22-#REF!</f>
        <v>#REF!</v>
      </c>
      <c r="O22" s="21" t="e">
        <f t="shared" si="1"/>
        <v>#REF!</v>
      </c>
    </row>
    <row r="23" spans="1:15" s="21" customFormat="1" ht="24" x14ac:dyDescent="0.2">
      <c r="A23" s="128">
        <f t="shared" si="6"/>
        <v>8</v>
      </c>
      <c r="B23" s="127" t="s">
        <v>1490</v>
      </c>
      <c r="C23" s="53" t="s">
        <v>1505</v>
      </c>
      <c r="D23" s="79">
        <v>3</v>
      </c>
      <c r="E23" s="82">
        <v>40</v>
      </c>
      <c r="F23" s="56">
        <f t="shared" si="2"/>
        <v>120</v>
      </c>
      <c r="G23" s="56">
        <f t="shared" si="3"/>
        <v>20.400000000000002</v>
      </c>
      <c r="H23" s="85">
        <f t="shared" si="4"/>
        <v>46.8</v>
      </c>
      <c r="I23" s="56">
        <f t="shared" si="5"/>
        <v>140.39999999999998</v>
      </c>
      <c r="J23" s="83" t="s">
        <v>1510</v>
      </c>
      <c r="M23" s="21">
        <f t="shared" si="0"/>
        <v>448.8</v>
      </c>
      <c r="N23" s="66" t="e">
        <f>M23-#REF!</f>
        <v>#REF!</v>
      </c>
      <c r="O23" s="21" t="e">
        <f t="shared" si="1"/>
        <v>#REF!</v>
      </c>
    </row>
    <row r="24" spans="1:15" s="21" customFormat="1" ht="24" x14ac:dyDescent="0.2">
      <c r="A24" s="128">
        <f t="shared" si="6"/>
        <v>9</v>
      </c>
      <c r="B24" s="127" t="s">
        <v>1491</v>
      </c>
      <c r="C24" s="53" t="s">
        <v>1506</v>
      </c>
      <c r="D24" s="79">
        <v>2</v>
      </c>
      <c r="E24" s="82">
        <v>105</v>
      </c>
      <c r="F24" s="56">
        <f t="shared" si="2"/>
        <v>210</v>
      </c>
      <c r="G24" s="56">
        <f t="shared" si="3"/>
        <v>35.700000000000003</v>
      </c>
      <c r="H24" s="85">
        <f t="shared" si="4"/>
        <v>122.85</v>
      </c>
      <c r="I24" s="56">
        <f t="shared" si="5"/>
        <v>245.7</v>
      </c>
      <c r="J24" s="83" t="s">
        <v>1510</v>
      </c>
      <c r="M24" s="21">
        <f t="shared" si="0"/>
        <v>448.8</v>
      </c>
      <c r="N24" s="66" t="e">
        <f>M24-#REF!</f>
        <v>#REF!</v>
      </c>
      <c r="O24" s="21" t="e">
        <f t="shared" si="1"/>
        <v>#REF!</v>
      </c>
    </row>
    <row r="25" spans="1:15" s="21" customFormat="1" ht="24" x14ac:dyDescent="0.2">
      <c r="A25" s="128">
        <f t="shared" si="6"/>
        <v>10</v>
      </c>
      <c r="B25" s="127" t="s">
        <v>1492</v>
      </c>
      <c r="C25" s="53" t="s">
        <v>1506</v>
      </c>
      <c r="D25" s="79">
        <v>2</v>
      </c>
      <c r="E25" s="82">
        <v>140</v>
      </c>
      <c r="F25" s="56">
        <f t="shared" si="2"/>
        <v>280</v>
      </c>
      <c r="G25" s="56">
        <f t="shared" si="3"/>
        <v>47.6</v>
      </c>
      <c r="H25" s="85">
        <f t="shared" si="4"/>
        <v>163.79999999999998</v>
      </c>
      <c r="I25" s="56">
        <f t="shared" si="5"/>
        <v>327.59999999999997</v>
      </c>
      <c r="J25" s="83" t="s">
        <v>1510</v>
      </c>
      <c r="M25" s="21">
        <f t="shared" si="0"/>
        <v>448.8</v>
      </c>
      <c r="N25" s="66" t="e">
        <f>M25-#REF!</f>
        <v>#REF!</v>
      </c>
      <c r="O25" s="21" t="e">
        <f t="shared" si="1"/>
        <v>#REF!</v>
      </c>
    </row>
    <row r="26" spans="1:15" s="21" customFormat="1" ht="15.75" x14ac:dyDescent="0.2">
      <c r="A26" s="128">
        <f t="shared" si="6"/>
        <v>11</v>
      </c>
      <c r="B26" s="127" t="s">
        <v>1493</v>
      </c>
      <c r="C26" s="53" t="s">
        <v>1506</v>
      </c>
      <c r="D26" s="79">
        <v>1</v>
      </c>
      <c r="E26" s="82">
        <v>180</v>
      </c>
      <c r="F26" s="56">
        <f t="shared" si="2"/>
        <v>180</v>
      </c>
      <c r="G26" s="56">
        <f t="shared" si="3"/>
        <v>30.6</v>
      </c>
      <c r="H26" s="85">
        <f t="shared" si="4"/>
        <v>210.6</v>
      </c>
      <c r="I26" s="56">
        <f t="shared" si="5"/>
        <v>210.6</v>
      </c>
      <c r="J26" s="83" t="s">
        <v>1510</v>
      </c>
      <c r="M26" s="21">
        <f t="shared" si="0"/>
        <v>448.8</v>
      </c>
      <c r="N26" s="66" t="e">
        <f>M26-#REF!</f>
        <v>#REF!</v>
      </c>
      <c r="O26" s="21" t="e">
        <f t="shared" si="1"/>
        <v>#REF!</v>
      </c>
    </row>
    <row r="27" spans="1:15" s="21" customFormat="1" ht="15.75" x14ac:dyDescent="0.2">
      <c r="A27" s="128">
        <f t="shared" si="6"/>
        <v>12</v>
      </c>
      <c r="B27" s="127" t="s">
        <v>1494</v>
      </c>
      <c r="C27" s="53" t="s">
        <v>1506</v>
      </c>
      <c r="D27" s="79">
        <v>1</v>
      </c>
      <c r="E27" s="82">
        <v>25</v>
      </c>
      <c r="F27" s="56">
        <f t="shared" si="2"/>
        <v>25</v>
      </c>
      <c r="G27" s="56">
        <f t="shared" si="3"/>
        <v>4.25</v>
      </c>
      <c r="H27" s="85">
        <f t="shared" si="4"/>
        <v>29.25</v>
      </c>
      <c r="I27" s="56">
        <f t="shared" si="5"/>
        <v>29.25</v>
      </c>
      <c r="J27" s="83" t="s">
        <v>1510</v>
      </c>
      <c r="M27" s="21">
        <f t="shared" si="0"/>
        <v>448.8</v>
      </c>
      <c r="N27" s="66" t="e">
        <f>M27-#REF!</f>
        <v>#REF!</v>
      </c>
      <c r="O27" s="21" t="e">
        <f t="shared" si="1"/>
        <v>#REF!</v>
      </c>
    </row>
    <row r="28" spans="1:15" s="21" customFormat="1" ht="15.75" x14ac:dyDescent="0.2">
      <c r="A28" s="128">
        <f t="shared" si="6"/>
        <v>13</v>
      </c>
      <c r="B28" s="127" t="s">
        <v>1495</v>
      </c>
      <c r="C28" s="53" t="s">
        <v>1506</v>
      </c>
      <c r="D28" s="79">
        <v>1</v>
      </c>
      <c r="E28" s="82">
        <v>110</v>
      </c>
      <c r="F28" s="56">
        <f t="shared" si="2"/>
        <v>110</v>
      </c>
      <c r="G28" s="56">
        <f t="shared" si="3"/>
        <v>18.700000000000003</v>
      </c>
      <c r="H28" s="85">
        <f t="shared" si="4"/>
        <v>128.69999999999999</v>
      </c>
      <c r="I28" s="56">
        <f t="shared" si="5"/>
        <v>128.69999999999999</v>
      </c>
      <c r="J28" s="83" t="s">
        <v>1510</v>
      </c>
      <c r="M28" s="21">
        <f t="shared" si="0"/>
        <v>448.8</v>
      </c>
      <c r="N28" s="66" t="e">
        <f>M28-#REF!</f>
        <v>#REF!</v>
      </c>
      <c r="O28" s="21" t="e">
        <f t="shared" si="1"/>
        <v>#REF!</v>
      </c>
    </row>
    <row r="29" spans="1:15" s="21" customFormat="1" ht="24" x14ac:dyDescent="0.2">
      <c r="A29" s="128">
        <f t="shared" si="6"/>
        <v>14</v>
      </c>
      <c r="B29" s="127" t="s">
        <v>1496</v>
      </c>
      <c r="C29" s="53" t="s">
        <v>1506</v>
      </c>
      <c r="D29" s="79">
        <v>2</v>
      </c>
      <c r="E29" s="82">
        <v>30</v>
      </c>
      <c r="F29" s="56">
        <f t="shared" si="2"/>
        <v>60</v>
      </c>
      <c r="G29" s="56">
        <f t="shared" si="3"/>
        <v>10.200000000000001</v>
      </c>
      <c r="H29" s="85">
        <f t="shared" si="4"/>
        <v>35.099999999999994</v>
      </c>
      <c r="I29" s="56">
        <f t="shared" si="5"/>
        <v>70.199999999999989</v>
      </c>
      <c r="J29" s="83" t="s">
        <v>1510</v>
      </c>
      <c r="M29" s="21">
        <f t="shared" si="0"/>
        <v>448.8</v>
      </c>
      <c r="N29" s="66" t="e">
        <f>M29-#REF!</f>
        <v>#REF!</v>
      </c>
      <c r="O29" s="21" t="e">
        <f t="shared" si="1"/>
        <v>#REF!</v>
      </c>
    </row>
    <row r="30" spans="1:15" s="21" customFormat="1" ht="15.75" x14ac:dyDescent="0.2">
      <c r="A30" s="128">
        <f t="shared" si="6"/>
        <v>15</v>
      </c>
      <c r="B30" s="127" t="s">
        <v>1497</v>
      </c>
      <c r="C30" s="53" t="s">
        <v>1506</v>
      </c>
      <c r="D30" s="79">
        <v>1</v>
      </c>
      <c r="E30" s="82">
        <v>28</v>
      </c>
      <c r="F30" s="56">
        <f t="shared" si="2"/>
        <v>28</v>
      </c>
      <c r="G30" s="56">
        <f t="shared" si="3"/>
        <v>4.7600000000000007</v>
      </c>
      <c r="H30" s="85">
        <f t="shared" si="4"/>
        <v>32.76</v>
      </c>
      <c r="I30" s="56">
        <f t="shared" si="5"/>
        <v>32.76</v>
      </c>
      <c r="J30" s="83" t="s">
        <v>1510</v>
      </c>
      <c r="M30" s="21">
        <f t="shared" si="0"/>
        <v>448.8</v>
      </c>
      <c r="N30" s="66" t="e">
        <f>M30-#REF!</f>
        <v>#REF!</v>
      </c>
      <c r="O30" s="21" t="e">
        <f t="shared" si="1"/>
        <v>#REF!</v>
      </c>
    </row>
    <row r="31" spans="1:15" s="21" customFormat="1" ht="15.75" x14ac:dyDescent="0.2">
      <c r="A31" s="128">
        <f t="shared" si="6"/>
        <v>16</v>
      </c>
      <c r="B31" s="127" t="s">
        <v>1498</v>
      </c>
      <c r="C31" s="53" t="s">
        <v>1506</v>
      </c>
      <c r="D31" s="79">
        <v>2</v>
      </c>
      <c r="E31" s="82">
        <v>175</v>
      </c>
      <c r="F31" s="56">
        <f t="shared" si="2"/>
        <v>350</v>
      </c>
      <c r="G31" s="56">
        <f t="shared" si="3"/>
        <v>59.500000000000007</v>
      </c>
      <c r="H31" s="85">
        <f t="shared" si="4"/>
        <v>204.75</v>
      </c>
      <c r="I31" s="56">
        <f t="shared" si="5"/>
        <v>409.5</v>
      </c>
      <c r="J31" s="83" t="s">
        <v>1510</v>
      </c>
      <c r="M31" s="21">
        <f t="shared" si="0"/>
        <v>448.8</v>
      </c>
      <c r="N31" s="66" t="e">
        <f>M31-#REF!</f>
        <v>#REF!</v>
      </c>
      <c r="O31" s="21" t="e">
        <f t="shared" si="1"/>
        <v>#REF!</v>
      </c>
    </row>
    <row r="32" spans="1:15" s="21" customFormat="1" ht="15.75" x14ac:dyDescent="0.25">
      <c r="A32" s="128">
        <f t="shared" si="6"/>
        <v>17</v>
      </c>
      <c r="B32" s="126" t="s">
        <v>1499</v>
      </c>
      <c r="C32" s="53" t="s">
        <v>1506</v>
      </c>
      <c r="D32" s="79">
        <v>1</v>
      </c>
      <c r="E32" s="82">
        <v>250</v>
      </c>
      <c r="F32" s="56">
        <f>D32*E32</f>
        <v>250</v>
      </c>
      <c r="G32" s="56">
        <f>F32*0.17</f>
        <v>42.5</v>
      </c>
      <c r="H32" s="85">
        <f>E32*1.17</f>
        <v>292.5</v>
      </c>
      <c r="I32" s="56">
        <f>H32*D32</f>
        <v>292.5</v>
      </c>
      <c r="J32" s="83" t="s">
        <v>1511</v>
      </c>
      <c r="M32" s="21">
        <f t="shared" si="0"/>
        <v>448.8</v>
      </c>
      <c r="N32" s="66" t="e">
        <f>M32-#REF!</f>
        <v>#REF!</v>
      </c>
      <c r="O32" s="21" t="e">
        <f t="shared" si="1"/>
        <v>#REF!</v>
      </c>
    </row>
    <row r="33" spans="1:15" s="21" customFormat="1" ht="24" x14ac:dyDescent="0.2">
      <c r="A33" s="128">
        <f t="shared" si="6"/>
        <v>18</v>
      </c>
      <c r="B33" s="127" t="s">
        <v>1500</v>
      </c>
      <c r="C33" s="53" t="s">
        <v>1505</v>
      </c>
      <c r="D33" s="79">
        <v>1</v>
      </c>
      <c r="E33" s="82">
        <v>350</v>
      </c>
      <c r="F33" s="56">
        <f t="shared" ref="F33:F76" si="7">D33*E33</f>
        <v>350</v>
      </c>
      <c r="G33" s="56">
        <f t="shared" ref="G33:G76" si="8">F33*0.17</f>
        <v>59.500000000000007</v>
      </c>
      <c r="H33" s="85">
        <f t="shared" ref="H33:H76" si="9">E33*1.17</f>
        <v>409.5</v>
      </c>
      <c r="I33" s="56">
        <f t="shared" ref="I33:I76" si="10">H33*D33</f>
        <v>409.5</v>
      </c>
      <c r="J33" s="83" t="s">
        <v>1512</v>
      </c>
      <c r="M33" s="21">
        <f t="shared" si="0"/>
        <v>448.8</v>
      </c>
      <c r="N33" s="66" t="e">
        <f>M33-#REF!</f>
        <v>#REF!</v>
      </c>
      <c r="O33" s="21" t="e">
        <f t="shared" si="1"/>
        <v>#REF!</v>
      </c>
    </row>
    <row r="34" spans="1:15" s="21" customFormat="1" ht="24" x14ac:dyDescent="0.2">
      <c r="A34" s="128">
        <f t="shared" si="6"/>
        <v>19</v>
      </c>
      <c r="B34" s="127" t="s">
        <v>1513</v>
      </c>
      <c r="C34" s="53" t="s">
        <v>1505</v>
      </c>
      <c r="D34" s="79">
        <v>2</v>
      </c>
      <c r="E34" s="82">
        <v>75</v>
      </c>
      <c r="F34" s="56">
        <f t="shared" si="7"/>
        <v>150</v>
      </c>
      <c r="G34" s="56">
        <f>F34*0</f>
        <v>0</v>
      </c>
      <c r="H34" s="85">
        <f>E34*1</f>
        <v>75</v>
      </c>
      <c r="I34" s="56">
        <f t="shared" si="10"/>
        <v>150</v>
      </c>
      <c r="J34" s="83" t="s">
        <v>1512</v>
      </c>
      <c r="M34" s="21">
        <f t="shared" si="0"/>
        <v>448.8</v>
      </c>
      <c r="N34" s="66" t="e">
        <f>M34-#REF!</f>
        <v>#REF!</v>
      </c>
      <c r="O34" s="21" t="e">
        <f t="shared" si="1"/>
        <v>#REF!</v>
      </c>
    </row>
    <row r="35" spans="1:15" s="21" customFormat="1" ht="15.75" x14ac:dyDescent="0.2">
      <c r="A35" s="128">
        <f t="shared" si="6"/>
        <v>20</v>
      </c>
      <c r="B35" s="127" t="s">
        <v>1501</v>
      </c>
      <c r="C35" s="53" t="s">
        <v>1506</v>
      </c>
      <c r="D35" s="79">
        <v>2</v>
      </c>
      <c r="E35" s="82">
        <v>28</v>
      </c>
      <c r="F35" s="56">
        <f t="shared" si="7"/>
        <v>56</v>
      </c>
      <c r="G35" s="56">
        <f>F35*0</f>
        <v>0</v>
      </c>
      <c r="H35" s="85">
        <f>E35*1</f>
        <v>28</v>
      </c>
      <c r="I35" s="56">
        <f t="shared" si="10"/>
        <v>56</v>
      </c>
      <c r="J35" s="83" t="s">
        <v>1512</v>
      </c>
      <c r="M35" s="21">
        <f t="shared" si="0"/>
        <v>448.8</v>
      </c>
      <c r="N35" s="66" t="e">
        <f>M35-#REF!</f>
        <v>#REF!</v>
      </c>
      <c r="O35" s="21" t="e">
        <f t="shared" si="1"/>
        <v>#REF!</v>
      </c>
    </row>
    <row r="36" spans="1:15" s="21" customFormat="1" ht="15.75" x14ac:dyDescent="0.2">
      <c r="A36" s="128">
        <f t="shared" si="6"/>
        <v>21</v>
      </c>
      <c r="B36" s="127" t="s">
        <v>1502</v>
      </c>
      <c r="C36" s="53" t="s">
        <v>1506</v>
      </c>
      <c r="D36" s="79">
        <v>2</v>
      </c>
      <c r="E36" s="82">
        <v>7</v>
      </c>
      <c r="F36" s="56">
        <f t="shared" si="7"/>
        <v>14</v>
      </c>
      <c r="G36" s="56">
        <f>F36*0</f>
        <v>0</v>
      </c>
      <c r="H36" s="85">
        <f>E36*1</f>
        <v>7</v>
      </c>
      <c r="I36" s="56">
        <f t="shared" si="10"/>
        <v>14</v>
      </c>
      <c r="J36" s="83" t="s">
        <v>1512</v>
      </c>
      <c r="M36" s="21">
        <f t="shared" si="0"/>
        <v>448.8</v>
      </c>
      <c r="N36" s="66" t="e">
        <f>M36-#REF!</f>
        <v>#REF!</v>
      </c>
      <c r="O36" s="21" t="e">
        <f t="shared" si="1"/>
        <v>#REF!</v>
      </c>
    </row>
    <row r="37" spans="1:15" s="21" customFormat="1" ht="15.75" x14ac:dyDescent="0.2">
      <c r="A37" s="128">
        <f t="shared" si="6"/>
        <v>22</v>
      </c>
      <c r="B37" s="127" t="s">
        <v>1503</v>
      </c>
      <c r="C37" s="53" t="s">
        <v>1506</v>
      </c>
      <c r="D37" s="79">
        <v>1</v>
      </c>
      <c r="E37" s="82">
        <v>26</v>
      </c>
      <c r="F37" s="56">
        <f t="shared" si="7"/>
        <v>26</v>
      </c>
      <c r="G37" s="56">
        <f t="shared" si="8"/>
        <v>4.42</v>
      </c>
      <c r="H37" s="85">
        <f t="shared" si="9"/>
        <v>30.419999999999998</v>
      </c>
      <c r="I37" s="56">
        <f t="shared" si="10"/>
        <v>30.419999999999998</v>
      </c>
      <c r="J37" s="83" t="s">
        <v>1512</v>
      </c>
      <c r="M37" s="21">
        <f t="shared" si="0"/>
        <v>448.8</v>
      </c>
      <c r="N37" s="66" t="e">
        <f>M37-#REF!</f>
        <v>#REF!</v>
      </c>
      <c r="O37" s="21" t="e">
        <f t="shared" si="1"/>
        <v>#REF!</v>
      </c>
    </row>
    <row r="38" spans="1:15" s="21" customFormat="1" ht="15.75" x14ac:dyDescent="0.2">
      <c r="A38" s="128">
        <f t="shared" si="6"/>
        <v>23</v>
      </c>
      <c r="B38" s="127" t="s">
        <v>1504</v>
      </c>
      <c r="C38" s="53" t="s">
        <v>1505</v>
      </c>
      <c r="D38" s="79">
        <v>24</v>
      </c>
      <c r="E38" s="82">
        <v>20</v>
      </c>
      <c r="F38" s="56">
        <f t="shared" si="7"/>
        <v>480</v>
      </c>
      <c r="G38" s="56">
        <f t="shared" si="8"/>
        <v>81.600000000000009</v>
      </c>
      <c r="H38" s="85">
        <f t="shared" si="9"/>
        <v>23.4</v>
      </c>
      <c r="I38" s="56">
        <f t="shared" si="10"/>
        <v>561.59999999999991</v>
      </c>
      <c r="J38" s="83" t="s">
        <v>1512</v>
      </c>
      <c r="M38" s="21">
        <f t="shared" si="0"/>
        <v>448.8</v>
      </c>
      <c r="N38" s="66" t="e">
        <f>M38-#REF!</f>
        <v>#REF!</v>
      </c>
      <c r="O38" s="21" t="e">
        <f t="shared" si="1"/>
        <v>#REF!</v>
      </c>
    </row>
    <row r="39" spans="1:15" s="21" customFormat="1" ht="24" x14ac:dyDescent="0.2">
      <c r="A39" s="128">
        <f t="shared" si="6"/>
        <v>24</v>
      </c>
      <c r="B39" s="127" t="s">
        <v>1514</v>
      </c>
      <c r="C39" s="53" t="s">
        <v>1505</v>
      </c>
      <c r="D39" s="79">
        <v>2</v>
      </c>
      <c r="E39" s="82">
        <v>35</v>
      </c>
      <c r="F39" s="56">
        <f t="shared" si="7"/>
        <v>70</v>
      </c>
      <c r="G39" s="56">
        <f t="shared" si="8"/>
        <v>11.9</v>
      </c>
      <c r="H39" s="85">
        <f t="shared" si="9"/>
        <v>40.949999999999996</v>
      </c>
      <c r="I39" s="56">
        <f t="shared" si="10"/>
        <v>81.899999999999991</v>
      </c>
      <c r="J39" s="83" t="s">
        <v>1531</v>
      </c>
      <c r="M39" s="21">
        <f t="shared" si="0"/>
        <v>448.8</v>
      </c>
      <c r="N39" s="66" t="e">
        <f>M39-#REF!</f>
        <v>#REF!</v>
      </c>
      <c r="O39" s="21" t="e">
        <f t="shared" si="1"/>
        <v>#REF!</v>
      </c>
    </row>
    <row r="40" spans="1:15" s="21" customFormat="1" ht="24" x14ac:dyDescent="0.2">
      <c r="A40" s="128">
        <f t="shared" si="6"/>
        <v>25</v>
      </c>
      <c r="B40" s="127" t="s">
        <v>1515</v>
      </c>
      <c r="C40" s="53" t="s">
        <v>1505</v>
      </c>
      <c r="D40" s="79">
        <v>2</v>
      </c>
      <c r="E40" s="82">
        <v>100</v>
      </c>
      <c r="F40" s="56">
        <f t="shared" si="7"/>
        <v>200</v>
      </c>
      <c r="G40" s="56">
        <f t="shared" si="8"/>
        <v>34</v>
      </c>
      <c r="H40" s="85">
        <f t="shared" si="9"/>
        <v>117</v>
      </c>
      <c r="I40" s="56">
        <f t="shared" si="10"/>
        <v>234</v>
      </c>
      <c r="J40" s="83" t="s">
        <v>1531</v>
      </c>
      <c r="M40" s="21">
        <f t="shared" si="0"/>
        <v>448.8</v>
      </c>
      <c r="N40" s="66" t="e">
        <f>M40-#REF!</f>
        <v>#REF!</v>
      </c>
      <c r="O40" s="21" t="e">
        <f t="shared" si="1"/>
        <v>#REF!</v>
      </c>
    </row>
    <row r="41" spans="1:15" s="21" customFormat="1" ht="15.75" x14ac:dyDescent="0.2">
      <c r="A41" s="128">
        <f t="shared" si="6"/>
        <v>26</v>
      </c>
      <c r="B41" s="127" t="s">
        <v>1516</v>
      </c>
      <c r="C41" s="53" t="s">
        <v>1506</v>
      </c>
      <c r="D41" s="79">
        <v>4</v>
      </c>
      <c r="E41" s="82">
        <v>18</v>
      </c>
      <c r="F41" s="56">
        <f t="shared" si="7"/>
        <v>72</v>
      </c>
      <c r="G41" s="56">
        <f t="shared" si="8"/>
        <v>12.24</v>
      </c>
      <c r="H41" s="85">
        <f t="shared" si="9"/>
        <v>21.06</v>
      </c>
      <c r="I41" s="56">
        <f t="shared" si="10"/>
        <v>84.24</v>
      </c>
      <c r="J41" s="83" t="s">
        <v>1531</v>
      </c>
      <c r="M41" s="21">
        <f t="shared" si="0"/>
        <v>448.8</v>
      </c>
      <c r="N41" s="66" t="e">
        <f>M41-#REF!</f>
        <v>#REF!</v>
      </c>
      <c r="O41" s="21" t="e">
        <f t="shared" si="1"/>
        <v>#REF!</v>
      </c>
    </row>
    <row r="42" spans="1:15" s="21" customFormat="1" ht="24" x14ac:dyDescent="0.2">
      <c r="A42" s="128">
        <f t="shared" si="6"/>
        <v>27</v>
      </c>
      <c r="B42" s="127" t="s">
        <v>1517</v>
      </c>
      <c r="C42" s="53" t="s">
        <v>1506</v>
      </c>
      <c r="D42" s="79">
        <v>2</v>
      </c>
      <c r="E42" s="82">
        <v>250</v>
      </c>
      <c r="F42" s="56">
        <f t="shared" si="7"/>
        <v>500</v>
      </c>
      <c r="G42" s="56">
        <f t="shared" si="8"/>
        <v>85</v>
      </c>
      <c r="H42" s="85">
        <f t="shared" si="9"/>
        <v>292.5</v>
      </c>
      <c r="I42" s="56">
        <f t="shared" si="10"/>
        <v>585</v>
      </c>
      <c r="J42" s="83" t="s">
        <v>1531</v>
      </c>
      <c r="M42" s="21">
        <f t="shared" si="0"/>
        <v>448.8</v>
      </c>
      <c r="N42" s="66" t="e">
        <f>M42-#REF!</f>
        <v>#REF!</v>
      </c>
      <c r="O42" s="21" t="e">
        <f t="shared" si="1"/>
        <v>#REF!</v>
      </c>
    </row>
    <row r="43" spans="1:15" s="21" customFormat="1" ht="15.75" x14ac:dyDescent="0.2">
      <c r="A43" s="128">
        <f t="shared" si="6"/>
        <v>28</v>
      </c>
      <c r="B43" s="127" t="s">
        <v>1487</v>
      </c>
      <c r="C43" s="53" t="s">
        <v>1506</v>
      </c>
      <c r="D43" s="79">
        <v>2</v>
      </c>
      <c r="E43" s="82">
        <v>155</v>
      </c>
      <c r="F43" s="56">
        <f t="shared" si="7"/>
        <v>310</v>
      </c>
      <c r="G43" s="56">
        <f t="shared" si="8"/>
        <v>52.7</v>
      </c>
      <c r="H43" s="85">
        <f t="shared" si="9"/>
        <v>181.35</v>
      </c>
      <c r="I43" s="56">
        <f t="shared" si="10"/>
        <v>362.7</v>
      </c>
      <c r="J43" s="83" t="s">
        <v>1531</v>
      </c>
      <c r="M43" s="21">
        <f t="shared" si="0"/>
        <v>448.8</v>
      </c>
      <c r="N43" s="66" t="e">
        <f>M43-#REF!</f>
        <v>#REF!</v>
      </c>
      <c r="O43" s="21" t="e">
        <f t="shared" si="1"/>
        <v>#REF!</v>
      </c>
    </row>
    <row r="44" spans="1:15" s="21" customFormat="1" ht="24" x14ac:dyDescent="0.2">
      <c r="A44" s="128">
        <f t="shared" si="6"/>
        <v>29</v>
      </c>
      <c r="B44" s="127" t="s">
        <v>1488</v>
      </c>
      <c r="C44" s="53" t="s">
        <v>1505</v>
      </c>
      <c r="D44" s="79">
        <v>4</v>
      </c>
      <c r="E44" s="82">
        <v>300</v>
      </c>
      <c r="F44" s="56">
        <f t="shared" ref="F44:F47" si="11">D44*E44</f>
        <v>1200</v>
      </c>
      <c r="G44" s="56">
        <f>F44*0</f>
        <v>0</v>
      </c>
      <c r="H44" s="85">
        <f>E44*1</f>
        <v>300</v>
      </c>
      <c r="I44" s="56">
        <f t="shared" ref="I44:I47" si="12">H44*D44</f>
        <v>1200</v>
      </c>
      <c r="J44" s="83" t="s">
        <v>1531</v>
      </c>
      <c r="M44" s="21">
        <f t="shared" si="0"/>
        <v>448.8</v>
      </c>
      <c r="N44" s="66" t="e">
        <f>M44-#REF!</f>
        <v>#REF!</v>
      </c>
      <c r="O44" s="21" t="e">
        <f t="shared" ref="O44:O72" si="13">N44*D44</f>
        <v>#REF!</v>
      </c>
    </row>
    <row r="45" spans="1:15" s="21" customFormat="1" ht="24" x14ac:dyDescent="0.2">
      <c r="A45" s="128">
        <f t="shared" si="6"/>
        <v>30</v>
      </c>
      <c r="B45" s="127" t="s">
        <v>1513</v>
      </c>
      <c r="C45" s="53" t="s">
        <v>1505</v>
      </c>
      <c r="D45" s="79">
        <v>2</v>
      </c>
      <c r="E45" s="82">
        <v>75</v>
      </c>
      <c r="F45" s="56">
        <f t="shared" si="11"/>
        <v>150</v>
      </c>
      <c r="G45" s="56">
        <f>F45*0</f>
        <v>0</v>
      </c>
      <c r="H45" s="85">
        <f>E45*1</f>
        <v>75</v>
      </c>
      <c r="I45" s="56">
        <f t="shared" si="12"/>
        <v>150</v>
      </c>
      <c r="J45" s="83" t="s">
        <v>1531</v>
      </c>
      <c r="M45" s="21">
        <f t="shared" si="0"/>
        <v>448.8</v>
      </c>
      <c r="N45" s="66" t="e">
        <f>M45-#REF!</f>
        <v>#REF!</v>
      </c>
      <c r="O45" s="21" t="e">
        <f t="shared" si="13"/>
        <v>#REF!</v>
      </c>
    </row>
    <row r="46" spans="1:15" s="21" customFormat="1" ht="24" x14ac:dyDescent="0.2">
      <c r="A46" s="128">
        <f t="shared" si="6"/>
        <v>31</v>
      </c>
      <c r="B46" s="127" t="s">
        <v>1490</v>
      </c>
      <c r="C46" s="53" t="s">
        <v>1505</v>
      </c>
      <c r="D46" s="79">
        <v>1</v>
      </c>
      <c r="E46" s="82">
        <v>40</v>
      </c>
      <c r="F46" s="56">
        <f t="shared" si="11"/>
        <v>40</v>
      </c>
      <c r="G46" s="56">
        <f t="shared" ref="G46:G47" si="14">F46*0.17</f>
        <v>6.8000000000000007</v>
      </c>
      <c r="H46" s="85">
        <f t="shared" ref="H46:H47" si="15">E46*1.17</f>
        <v>46.8</v>
      </c>
      <c r="I46" s="56">
        <f t="shared" si="12"/>
        <v>46.8</v>
      </c>
      <c r="J46" s="83" t="s">
        <v>1531</v>
      </c>
      <c r="M46" s="21">
        <f t="shared" si="0"/>
        <v>448.8</v>
      </c>
      <c r="N46" s="66" t="e">
        <f>M46-#REF!</f>
        <v>#REF!</v>
      </c>
      <c r="O46" s="21" t="e">
        <f t="shared" si="13"/>
        <v>#REF!</v>
      </c>
    </row>
    <row r="47" spans="1:15" s="21" customFormat="1" ht="24" x14ac:dyDescent="0.2">
      <c r="A47" s="128">
        <f t="shared" si="6"/>
        <v>32</v>
      </c>
      <c r="B47" s="127" t="s">
        <v>1491</v>
      </c>
      <c r="C47" s="53" t="s">
        <v>1506</v>
      </c>
      <c r="D47" s="79">
        <v>4</v>
      </c>
      <c r="E47" s="82">
        <v>105</v>
      </c>
      <c r="F47" s="56">
        <f t="shared" si="11"/>
        <v>420</v>
      </c>
      <c r="G47" s="56">
        <f t="shared" si="14"/>
        <v>71.400000000000006</v>
      </c>
      <c r="H47" s="85">
        <f t="shared" si="15"/>
        <v>122.85</v>
      </c>
      <c r="I47" s="56">
        <f t="shared" si="12"/>
        <v>491.4</v>
      </c>
      <c r="J47" s="83" t="s">
        <v>1531</v>
      </c>
      <c r="M47" s="21">
        <f t="shared" si="0"/>
        <v>448.8</v>
      </c>
      <c r="N47" s="66" t="e">
        <f>M47-#REF!</f>
        <v>#REF!</v>
      </c>
      <c r="O47" s="21" t="e">
        <f t="shared" si="13"/>
        <v>#REF!</v>
      </c>
    </row>
    <row r="48" spans="1:15" s="21" customFormat="1" ht="15.75" x14ac:dyDescent="0.25">
      <c r="A48" s="128">
        <f t="shared" si="6"/>
        <v>33</v>
      </c>
      <c r="B48" s="126" t="s">
        <v>1493</v>
      </c>
      <c r="C48" s="53" t="s">
        <v>1506</v>
      </c>
      <c r="D48" s="79">
        <v>2</v>
      </c>
      <c r="E48" s="82">
        <v>180</v>
      </c>
      <c r="F48" s="56">
        <f>D48*E48</f>
        <v>360</v>
      </c>
      <c r="G48" s="56">
        <f>F48*0.17</f>
        <v>61.2</v>
      </c>
      <c r="H48" s="85">
        <f>E48*1.17</f>
        <v>210.6</v>
      </c>
      <c r="I48" s="56">
        <f>H48*D48</f>
        <v>421.2</v>
      </c>
      <c r="J48" s="83" t="s">
        <v>1531</v>
      </c>
      <c r="M48" s="21">
        <f t="shared" si="0"/>
        <v>448.8</v>
      </c>
      <c r="N48" s="66" t="e">
        <f>M48-#REF!</f>
        <v>#REF!</v>
      </c>
      <c r="O48" s="21" t="e">
        <f t="shared" si="13"/>
        <v>#REF!</v>
      </c>
    </row>
    <row r="49" spans="1:15" s="21" customFormat="1" ht="24" x14ac:dyDescent="0.2">
      <c r="A49" s="128">
        <f t="shared" si="6"/>
        <v>34</v>
      </c>
      <c r="B49" s="127" t="s">
        <v>1518</v>
      </c>
      <c r="C49" s="53" t="s">
        <v>1505</v>
      </c>
      <c r="D49" s="79">
        <v>2</v>
      </c>
      <c r="E49" s="82">
        <v>25</v>
      </c>
      <c r="F49" s="56">
        <f t="shared" ref="F49:F63" si="16">D49*E49</f>
        <v>50</v>
      </c>
      <c r="G49" s="56">
        <f t="shared" ref="G49:G63" si="17">F49*0.17</f>
        <v>8.5</v>
      </c>
      <c r="H49" s="85">
        <f t="shared" ref="H49:H63" si="18">E49*1.17</f>
        <v>29.25</v>
      </c>
      <c r="I49" s="56">
        <f t="shared" ref="I49:I63" si="19">H49*D49</f>
        <v>58.5</v>
      </c>
      <c r="J49" s="83" t="s">
        <v>1531</v>
      </c>
      <c r="M49" s="21">
        <f t="shared" si="0"/>
        <v>448.8</v>
      </c>
      <c r="N49" s="66" t="e">
        <f>M49-#REF!</f>
        <v>#REF!</v>
      </c>
      <c r="O49" s="21" t="e">
        <f t="shared" si="13"/>
        <v>#REF!</v>
      </c>
    </row>
    <row r="50" spans="1:15" s="21" customFormat="1" ht="15.75" x14ac:dyDescent="0.2">
      <c r="A50" s="128">
        <f t="shared" si="6"/>
        <v>35</v>
      </c>
      <c r="B50" s="127" t="s">
        <v>1494</v>
      </c>
      <c r="C50" s="53" t="s">
        <v>1506</v>
      </c>
      <c r="D50" s="79">
        <v>2</v>
      </c>
      <c r="E50" s="82">
        <v>25</v>
      </c>
      <c r="F50" s="56">
        <f t="shared" si="16"/>
        <v>50</v>
      </c>
      <c r="G50" s="56">
        <f>F50*0</f>
        <v>0</v>
      </c>
      <c r="H50" s="85">
        <f>E50*1</f>
        <v>25</v>
      </c>
      <c r="I50" s="56">
        <f t="shared" si="19"/>
        <v>50</v>
      </c>
      <c r="J50" s="83" t="s">
        <v>1531</v>
      </c>
      <c r="M50" s="21">
        <f t="shared" si="0"/>
        <v>448.8</v>
      </c>
      <c r="N50" s="66" t="e">
        <f>M50-#REF!</f>
        <v>#REF!</v>
      </c>
      <c r="O50" s="21" t="e">
        <f t="shared" si="13"/>
        <v>#REF!</v>
      </c>
    </row>
    <row r="51" spans="1:15" s="21" customFormat="1" ht="15.75" x14ac:dyDescent="0.2">
      <c r="A51" s="128">
        <f t="shared" si="6"/>
        <v>36</v>
      </c>
      <c r="B51" s="127" t="s">
        <v>1499</v>
      </c>
      <c r="C51" s="53" t="s">
        <v>1506</v>
      </c>
      <c r="D51" s="79">
        <v>2</v>
      </c>
      <c r="E51" s="82">
        <v>250</v>
      </c>
      <c r="F51" s="56">
        <f t="shared" si="16"/>
        <v>500</v>
      </c>
      <c r="G51" s="56">
        <f t="shared" si="17"/>
        <v>85</v>
      </c>
      <c r="H51" s="85">
        <f t="shared" si="18"/>
        <v>292.5</v>
      </c>
      <c r="I51" s="56">
        <f t="shared" si="19"/>
        <v>585</v>
      </c>
      <c r="J51" s="83" t="s">
        <v>1532</v>
      </c>
      <c r="M51" s="21">
        <f t="shared" si="0"/>
        <v>448.8</v>
      </c>
      <c r="N51" s="66" t="e">
        <f>M51-#REF!</f>
        <v>#REF!</v>
      </c>
      <c r="O51" s="21" t="e">
        <f t="shared" si="13"/>
        <v>#REF!</v>
      </c>
    </row>
    <row r="52" spans="1:15" s="21" customFormat="1" ht="15.75" x14ac:dyDescent="0.2">
      <c r="A52" s="128">
        <f t="shared" si="6"/>
        <v>37</v>
      </c>
      <c r="B52" s="127" t="s">
        <v>1516</v>
      </c>
      <c r="C52" s="53" t="s">
        <v>1506</v>
      </c>
      <c r="D52" s="79">
        <v>5</v>
      </c>
      <c r="E52" s="82">
        <v>18</v>
      </c>
      <c r="F52" s="56">
        <f t="shared" si="16"/>
        <v>90</v>
      </c>
      <c r="G52" s="56">
        <f t="shared" si="17"/>
        <v>15.3</v>
      </c>
      <c r="H52" s="85">
        <f t="shared" si="18"/>
        <v>21.06</v>
      </c>
      <c r="I52" s="56">
        <f t="shared" si="19"/>
        <v>105.3</v>
      </c>
      <c r="J52" s="83" t="s">
        <v>1533</v>
      </c>
      <c r="M52" s="21">
        <f t="shared" si="0"/>
        <v>448.8</v>
      </c>
      <c r="N52" s="66" t="e">
        <f>M52-#REF!</f>
        <v>#REF!</v>
      </c>
      <c r="O52" s="21" t="e">
        <f t="shared" si="13"/>
        <v>#REF!</v>
      </c>
    </row>
    <row r="53" spans="1:15" s="21" customFormat="1" ht="15.75" x14ac:dyDescent="0.2">
      <c r="A53" s="128">
        <f t="shared" si="6"/>
        <v>38</v>
      </c>
      <c r="B53" s="127" t="s">
        <v>1519</v>
      </c>
      <c r="C53" s="53" t="s">
        <v>1506</v>
      </c>
      <c r="D53" s="79">
        <v>2</v>
      </c>
      <c r="E53" s="82">
        <v>32</v>
      </c>
      <c r="F53" s="56">
        <f t="shared" si="16"/>
        <v>64</v>
      </c>
      <c r="G53" s="56">
        <f>F53*0</f>
        <v>0</v>
      </c>
      <c r="H53" s="85">
        <f>E53*1</f>
        <v>32</v>
      </c>
      <c r="I53" s="56">
        <f t="shared" si="19"/>
        <v>64</v>
      </c>
      <c r="J53" s="83" t="s">
        <v>1533</v>
      </c>
      <c r="M53" s="21">
        <f t="shared" si="0"/>
        <v>448.8</v>
      </c>
      <c r="N53" s="66" t="e">
        <f>M53-#REF!</f>
        <v>#REF!</v>
      </c>
      <c r="O53" s="21" t="e">
        <f t="shared" si="13"/>
        <v>#REF!</v>
      </c>
    </row>
    <row r="54" spans="1:15" s="21" customFormat="1" ht="15.75" x14ac:dyDescent="0.2">
      <c r="A54" s="128">
        <f t="shared" si="6"/>
        <v>39</v>
      </c>
      <c r="B54" s="127" t="s">
        <v>1487</v>
      </c>
      <c r="C54" s="53" t="s">
        <v>1506</v>
      </c>
      <c r="D54" s="79">
        <v>6</v>
      </c>
      <c r="E54" s="82">
        <v>155</v>
      </c>
      <c r="F54" s="56">
        <f t="shared" si="16"/>
        <v>930</v>
      </c>
      <c r="G54" s="56">
        <f t="shared" si="17"/>
        <v>158.10000000000002</v>
      </c>
      <c r="H54" s="85">
        <f t="shared" si="18"/>
        <v>181.35</v>
      </c>
      <c r="I54" s="56">
        <f t="shared" si="19"/>
        <v>1088.0999999999999</v>
      </c>
      <c r="J54" s="83" t="s">
        <v>1533</v>
      </c>
      <c r="M54" s="21">
        <f t="shared" si="0"/>
        <v>448.8</v>
      </c>
      <c r="N54" s="66" t="e">
        <f>M54-#REF!</f>
        <v>#REF!</v>
      </c>
      <c r="O54" s="21" t="e">
        <f t="shared" si="13"/>
        <v>#REF!</v>
      </c>
    </row>
    <row r="55" spans="1:15" s="21" customFormat="1" ht="24" x14ac:dyDescent="0.2">
      <c r="A55" s="128">
        <f t="shared" si="6"/>
        <v>40</v>
      </c>
      <c r="B55" s="127" t="s">
        <v>1488</v>
      </c>
      <c r="C55" s="53" t="s">
        <v>1505</v>
      </c>
      <c r="D55" s="79">
        <v>1</v>
      </c>
      <c r="E55" s="82">
        <v>300</v>
      </c>
      <c r="F55" s="56">
        <f t="shared" si="16"/>
        <v>300</v>
      </c>
      <c r="G55" s="56">
        <f>F55*0</f>
        <v>0</v>
      </c>
      <c r="H55" s="85">
        <f>E55*1</f>
        <v>300</v>
      </c>
      <c r="I55" s="56">
        <f t="shared" si="19"/>
        <v>300</v>
      </c>
      <c r="J55" s="83" t="s">
        <v>1533</v>
      </c>
      <c r="M55" s="21">
        <f t="shared" si="0"/>
        <v>448.8</v>
      </c>
      <c r="N55" s="66" t="e">
        <f>M55-#REF!</f>
        <v>#REF!</v>
      </c>
      <c r="O55" s="21" t="e">
        <f t="shared" si="13"/>
        <v>#REF!</v>
      </c>
    </row>
    <row r="56" spans="1:15" s="21" customFormat="1" ht="24" x14ac:dyDescent="0.2">
      <c r="A56" s="128">
        <f t="shared" si="6"/>
        <v>41</v>
      </c>
      <c r="B56" s="127" t="s">
        <v>1520</v>
      </c>
      <c r="C56" s="53" t="s">
        <v>1505</v>
      </c>
      <c r="D56" s="79">
        <v>1</v>
      </c>
      <c r="E56" s="82">
        <v>300</v>
      </c>
      <c r="F56" s="56">
        <f t="shared" si="16"/>
        <v>300</v>
      </c>
      <c r="G56" s="56">
        <f t="shared" ref="G56:G58" si="20">F56*0</f>
        <v>0</v>
      </c>
      <c r="H56" s="85">
        <f t="shared" ref="H56:H58" si="21">E56*1</f>
        <v>300</v>
      </c>
      <c r="I56" s="56">
        <f t="shared" si="19"/>
        <v>300</v>
      </c>
      <c r="J56" s="83" t="s">
        <v>1533</v>
      </c>
      <c r="M56" s="21">
        <f t="shared" si="0"/>
        <v>448.8</v>
      </c>
      <c r="N56" s="66" t="e">
        <f>M56-#REF!</f>
        <v>#REF!</v>
      </c>
      <c r="O56" s="21" t="e">
        <f t="shared" si="13"/>
        <v>#REF!</v>
      </c>
    </row>
    <row r="57" spans="1:15" s="21" customFormat="1" ht="24" x14ac:dyDescent="0.2">
      <c r="A57" s="128">
        <f t="shared" si="6"/>
        <v>42</v>
      </c>
      <c r="B57" s="127" t="s">
        <v>1521</v>
      </c>
      <c r="C57" s="53" t="s">
        <v>1505</v>
      </c>
      <c r="D57" s="79">
        <v>1</v>
      </c>
      <c r="E57" s="82">
        <v>300</v>
      </c>
      <c r="F57" s="56">
        <f t="shared" si="16"/>
        <v>300</v>
      </c>
      <c r="G57" s="56">
        <f t="shared" si="20"/>
        <v>0</v>
      </c>
      <c r="H57" s="85">
        <f t="shared" si="21"/>
        <v>300</v>
      </c>
      <c r="I57" s="56">
        <f t="shared" si="19"/>
        <v>300</v>
      </c>
      <c r="J57" s="83" t="s">
        <v>1533</v>
      </c>
      <c r="M57" s="21">
        <f t="shared" si="0"/>
        <v>448.8</v>
      </c>
      <c r="N57" s="66" t="e">
        <f>M57-#REF!</f>
        <v>#REF!</v>
      </c>
      <c r="O57" s="21" t="e">
        <f t="shared" si="13"/>
        <v>#REF!</v>
      </c>
    </row>
    <row r="58" spans="1:15" s="21" customFormat="1" ht="24" x14ac:dyDescent="0.2">
      <c r="A58" s="128">
        <f t="shared" si="6"/>
        <v>43</v>
      </c>
      <c r="B58" s="127" t="s">
        <v>1522</v>
      </c>
      <c r="C58" s="53" t="s">
        <v>1505</v>
      </c>
      <c r="D58" s="79">
        <v>1</v>
      </c>
      <c r="E58" s="82">
        <v>300</v>
      </c>
      <c r="F58" s="56">
        <f t="shared" si="16"/>
        <v>300</v>
      </c>
      <c r="G58" s="56">
        <f t="shared" si="20"/>
        <v>0</v>
      </c>
      <c r="H58" s="85">
        <f t="shared" si="21"/>
        <v>300</v>
      </c>
      <c r="I58" s="56">
        <f t="shared" si="19"/>
        <v>300</v>
      </c>
      <c r="J58" s="83" t="s">
        <v>1533</v>
      </c>
      <c r="M58" s="21">
        <f t="shared" si="0"/>
        <v>448.8</v>
      </c>
      <c r="N58" s="66" t="e">
        <f>M58-#REF!</f>
        <v>#REF!</v>
      </c>
      <c r="O58" s="21" t="e">
        <f t="shared" si="13"/>
        <v>#REF!</v>
      </c>
    </row>
    <row r="59" spans="1:15" s="21" customFormat="1" ht="15.75" x14ac:dyDescent="0.2">
      <c r="A59" s="128">
        <f t="shared" si="6"/>
        <v>44</v>
      </c>
      <c r="B59" s="127" t="s">
        <v>1523</v>
      </c>
      <c r="C59" s="53" t="s">
        <v>1506</v>
      </c>
      <c r="D59" s="79">
        <v>1</v>
      </c>
      <c r="E59" s="82">
        <v>25</v>
      </c>
      <c r="F59" s="56">
        <f t="shared" si="16"/>
        <v>25</v>
      </c>
      <c r="G59" s="56">
        <f t="shared" si="17"/>
        <v>4.25</v>
      </c>
      <c r="H59" s="85">
        <f t="shared" si="18"/>
        <v>29.25</v>
      </c>
      <c r="I59" s="56">
        <f t="shared" si="19"/>
        <v>29.25</v>
      </c>
      <c r="J59" s="83" t="s">
        <v>1533</v>
      </c>
      <c r="M59" s="21">
        <f t="shared" si="0"/>
        <v>448.8</v>
      </c>
      <c r="N59" s="66" t="e">
        <f>M59-#REF!</f>
        <v>#REF!</v>
      </c>
      <c r="O59" s="21" t="e">
        <f t="shared" si="13"/>
        <v>#REF!</v>
      </c>
    </row>
    <row r="60" spans="1:15" s="21" customFormat="1" ht="24" x14ac:dyDescent="0.2">
      <c r="A60" s="128">
        <f t="shared" si="6"/>
        <v>45</v>
      </c>
      <c r="B60" s="127" t="s">
        <v>1513</v>
      </c>
      <c r="C60" s="53" t="s">
        <v>1505</v>
      </c>
      <c r="D60" s="79">
        <v>2</v>
      </c>
      <c r="E60" s="82">
        <v>75</v>
      </c>
      <c r="F60" s="56">
        <f t="shared" si="16"/>
        <v>150</v>
      </c>
      <c r="G60" s="56">
        <f>F60*0</f>
        <v>0</v>
      </c>
      <c r="H60" s="85">
        <f>E60*1</f>
        <v>75</v>
      </c>
      <c r="I60" s="56">
        <f t="shared" si="19"/>
        <v>150</v>
      </c>
      <c r="J60" s="83" t="s">
        <v>1533</v>
      </c>
      <c r="M60" s="21">
        <f t="shared" si="0"/>
        <v>448.8</v>
      </c>
      <c r="N60" s="66" t="e">
        <f>M60-#REF!</f>
        <v>#REF!</v>
      </c>
      <c r="O60" s="21" t="e">
        <f t="shared" si="13"/>
        <v>#REF!</v>
      </c>
    </row>
    <row r="61" spans="1:15" s="21" customFormat="1" ht="15.75" x14ac:dyDescent="0.2">
      <c r="A61" s="128">
        <f t="shared" si="6"/>
        <v>46</v>
      </c>
      <c r="B61" s="127" t="s">
        <v>1489</v>
      </c>
      <c r="C61" s="53" t="s">
        <v>1506</v>
      </c>
      <c r="D61" s="79">
        <v>24</v>
      </c>
      <c r="E61" s="82">
        <v>12</v>
      </c>
      <c r="F61" s="56">
        <f t="shared" si="16"/>
        <v>288</v>
      </c>
      <c r="G61" s="56">
        <f t="shared" si="17"/>
        <v>48.96</v>
      </c>
      <c r="H61" s="85">
        <f t="shared" si="18"/>
        <v>14.04</v>
      </c>
      <c r="I61" s="56">
        <f t="shared" si="19"/>
        <v>336.96</v>
      </c>
      <c r="J61" s="83" t="s">
        <v>1533</v>
      </c>
      <c r="M61" s="21">
        <f t="shared" si="0"/>
        <v>448.8</v>
      </c>
      <c r="N61" s="66" t="e">
        <f>M61-#REF!</f>
        <v>#REF!</v>
      </c>
      <c r="O61" s="21" t="e">
        <f t="shared" si="13"/>
        <v>#REF!</v>
      </c>
    </row>
    <row r="62" spans="1:15" s="21" customFormat="1" ht="15.75" x14ac:dyDescent="0.2">
      <c r="A62" s="128">
        <f t="shared" si="6"/>
        <v>47</v>
      </c>
      <c r="B62" s="127" t="s">
        <v>1524</v>
      </c>
      <c r="C62" s="53" t="s">
        <v>1506</v>
      </c>
      <c r="D62" s="79">
        <v>6</v>
      </c>
      <c r="E62" s="82">
        <v>20</v>
      </c>
      <c r="F62" s="56">
        <f t="shared" si="16"/>
        <v>120</v>
      </c>
      <c r="G62" s="56">
        <f t="shared" si="17"/>
        <v>20.400000000000002</v>
      </c>
      <c r="H62" s="85">
        <f t="shared" si="18"/>
        <v>23.4</v>
      </c>
      <c r="I62" s="56">
        <f t="shared" si="19"/>
        <v>140.39999999999998</v>
      </c>
      <c r="J62" s="83" t="s">
        <v>1533</v>
      </c>
      <c r="M62" s="21">
        <f t="shared" si="0"/>
        <v>448.8</v>
      </c>
      <c r="N62" s="66" t="e">
        <f>M62-#REF!</f>
        <v>#REF!</v>
      </c>
      <c r="O62" s="21" t="e">
        <f t="shared" si="13"/>
        <v>#REF!</v>
      </c>
    </row>
    <row r="63" spans="1:15" s="21" customFormat="1" ht="15.75" x14ac:dyDescent="0.2">
      <c r="A63" s="128">
        <f t="shared" si="6"/>
        <v>48</v>
      </c>
      <c r="B63" s="127" t="s">
        <v>1525</v>
      </c>
      <c r="C63" s="53" t="s">
        <v>1506</v>
      </c>
      <c r="D63" s="79">
        <v>6</v>
      </c>
      <c r="E63" s="82">
        <v>40</v>
      </c>
      <c r="F63" s="56">
        <f t="shared" si="16"/>
        <v>240</v>
      </c>
      <c r="G63" s="56">
        <f t="shared" si="17"/>
        <v>40.800000000000004</v>
      </c>
      <c r="H63" s="85">
        <f t="shared" si="18"/>
        <v>46.8</v>
      </c>
      <c r="I63" s="56">
        <f t="shared" si="19"/>
        <v>280.79999999999995</v>
      </c>
      <c r="J63" s="83" t="s">
        <v>1533</v>
      </c>
      <c r="M63" s="21">
        <f t="shared" si="0"/>
        <v>448.8</v>
      </c>
      <c r="N63" s="66" t="e">
        <f>M63-#REF!</f>
        <v>#REF!</v>
      </c>
      <c r="O63" s="21" t="e">
        <f t="shared" si="13"/>
        <v>#REF!</v>
      </c>
    </row>
    <row r="64" spans="1:15" s="21" customFormat="1" ht="15.75" x14ac:dyDescent="0.25">
      <c r="A64" s="128">
        <f t="shared" si="6"/>
        <v>49</v>
      </c>
      <c r="B64" s="126" t="s">
        <v>1526</v>
      </c>
      <c r="C64" s="53" t="s">
        <v>23</v>
      </c>
      <c r="D64" s="79">
        <v>6</v>
      </c>
      <c r="E64" s="82">
        <v>50</v>
      </c>
      <c r="F64" s="56">
        <f>D64*E64</f>
        <v>300</v>
      </c>
      <c r="G64" s="56">
        <f>F64*0.17</f>
        <v>51.000000000000007</v>
      </c>
      <c r="H64" s="85">
        <f>E64*1.17</f>
        <v>58.5</v>
      </c>
      <c r="I64" s="56">
        <f>H64*D64</f>
        <v>351</v>
      </c>
      <c r="J64" s="83" t="s">
        <v>1533</v>
      </c>
      <c r="M64" s="21">
        <f t="shared" si="0"/>
        <v>448.8</v>
      </c>
      <c r="N64" s="66" t="e">
        <f>M64-#REF!</f>
        <v>#REF!</v>
      </c>
      <c r="O64" s="21" t="e">
        <f t="shared" si="13"/>
        <v>#REF!</v>
      </c>
    </row>
    <row r="65" spans="1:15" s="21" customFormat="1" ht="15.75" x14ac:dyDescent="0.2">
      <c r="A65" s="128">
        <f t="shared" si="6"/>
        <v>50</v>
      </c>
      <c r="B65" s="127" t="s">
        <v>1527</v>
      </c>
      <c r="C65" s="53" t="s">
        <v>23</v>
      </c>
      <c r="D65" s="79">
        <v>6</v>
      </c>
      <c r="E65" s="82">
        <v>28</v>
      </c>
      <c r="F65" s="56">
        <f t="shared" ref="F65:F72" si="22">D65*E65</f>
        <v>168</v>
      </c>
      <c r="G65" s="56">
        <f t="shared" ref="G65:G72" si="23">F65*0.17</f>
        <v>28.560000000000002</v>
      </c>
      <c r="H65" s="85">
        <f t="shared" ref="H65:H72" si="24">E65*1.17</f>
        <v>32.76</v>
      </c>
      <c r="I65" s="56">
        <f t="shared" ref="I65:I72" si="25">H65*D65</f>
        <v>196.56</v>
      </c>
      <c r="J65" s="83" t="s">
        <v>1533</v>
      </c>
      <c r="M65" s="21">
        <f t="shared" si="0"/>
        <v>448.8</v>
      </c>
      <c r="N65" s="66" t="e">
        <f>M65-#REF!</f>
        <v>#REF!</v>
      </c>
      <c r="O65" s="21" t="e">
        <f t="shared" si="13"/>
        <v>#REF!</v>
      </c>
    </row>
    <row r="66" spans="1:15" s="21" customFormat="1" ht="24" x14ac:dyDescent="0.2">
      <c r="A66" s="128">
        <f t="shared" si="6"/>
        <v>51</v>
      </c>
      <c r="B66" s="127" t="s">
        <v>1490</v>
      </c>
      <c r="C66" s="53" t="s">
        <v>1505</v>
      </c>
      <c r="D66" s="79">
        <v>1</v>
      </c>
      <c r="E66" s="82">
        <v>40</v>
      </c>
      <c r="F66" s="56">
        <f t="shared" si="22"/>
        <v>40</v>
      </c>
      <c r="G66" s="56">
        <f t="shared" si="23"/>
        <v>6.8000000000000007</v>
      </c>
      <c r="H66" s="85">
        <f t="shared" si="24"/>
        <v>46.8</v>
      </c>
      <c r="I66" s="56">
        <f t="shared" si="25"/>
        <v>46.8</v>
      </c>
      <c r="J66" s="83" t="s">
        <v>1533</v>
      </c>
      <c r="M66" s="21">
        <f t="shared" si="0"/>
        <v>448.8</v>
      </c>
      <c r="N66" s="66" t="e">
        <f>M66-#REF!</f>
        <v>#REF!</v>
      </c>
      <c r="O66" s="21" t="e">
        <f t="shared" si="13"/>
        <v>#REF!</v>
      </c>
    </row>
    <row r="67" spans="1:15" s="21" customFormat="1" ht="15.75" x14ac:dyDescent="0.2">
      <c r="A67" s="128">
        <f t="shared" si="6"/>
        <v>52</v>
      </c>
      <c r="B67" s="127" t="s">
        <v>1528</v>
      </c>
      <c r="C67" s="53" t="s">
        <v>23</v>
      </c>
      <c r="D67" s="79">
        <v>5</v>
      </c>
      <c r="E67" s="82">
        <v>100</v>
      </c>
      <c r="F67" s="56">
        <f t="shared" si="22"/>
        <v>500</v>
      </c>
      <c r="G67" s="56">
        <f t="shared" si="23"/>
        <v>85</v>
      </c>
      <c r="H67" s="85">
        <f t="shared" si="24"/>
        <v>117</v>
      </c>
      <c r="I67" s="56">
        <f t="shared" si="25"/>
        <v>585</v>
      </c>
      <c r="J67" s="83" t="s">
        <v>1533</v>
      </c>
      <c r="M67" s="21">
        <f t="shared" si="0"/>
        <v>448.8</v>
      </c>
      <c r="N67" s="66" t="e">
        <f>M67-#REF!</f>
        <v>#REF!</v>
      </c>
      <c r="O67" s="21" t="e">
        <f t="shared" si="13"/>
        <v>#REF!</v>
      </c>
    </row>
    <row r="68" spans="1:15" s="21" customFormat="1" ht="15.75" x14ac:dyDescent="0.2">
      <c r="A68" s="128">
        <f t="shared" si="6"/>
        <v>53</v>
      </c>
      <c r="B68" s="127" t="s">
        <v>1529</v>
      </c>
      <c r="C68" s="53" t="s">
        <v>23</v>
      </c>
      <c r="D68" s="79">
        <v>3</v>
      </c>
      <c r="E68" s="82">
        <v>28</v>
      </c>
      <c r="F68" s="56">
        <f t="shared" si="22"/>
        <v>84</v>
      </c>
      <c r="G68" s="56">
        <f>F68*0</f>
        <v>0</v>
      </c>
      <c r="H68" s="85">
        <f>E68*1</f>
        <v>28</v>
      </c>
      <c r="I68" s="56">
        <f t="shared" si="25"/>
        <v>84</v>
      </c>
      <c r="J68" s="83" t="s">
        <v>1533</v>
      </c>
      <c r="M68" s="21">
        <f t="shared" si="0"/>
        <v>448.8</v>
      </c>
      <c r="N68" s="66" t="e">
        <f>M68-#REF!</f>
        <v>#REF!</v>
      </c>
      <c r="O68" s="21" t="e">
        <f t="shared" si="13"/>
        <v>#REF!</v>
      </c>
    </row>
    <row r="69" spans="1:15" s="21" customFormat="1" ht="24" x14ac:dyDescent="0.2">
      <c r="A69" s="128">
        <f t="shared" si="6"/>
        <v>54</v>
      </c>
      <c r="B69" s="127" t="s">
        <v>1491</v>
      </c>
      <c r="C69" s="53" t="s">
        <v>1506</v>
      </c>
      <c r="D69" s="79">
        <v>5</v>
      </c>
      <c r="E69" s="82">
        <v>105</v>
      </c>
      <c r="F69" s="56">
        <f t="shared" si="22"/>
        <v>525</v>
      </c>
      <c r="G69" s="56">
        <f t="shared" si="23"/>
        <v>89.25</v>
      </c>
      <c r="H69" s="85">
        <f t="shared" si="24"/>
        <v>122.85</v>
      </c>
      <c r="I69" s="56">
        <f t="shared" si="25"/>
        <v>614.25</v>
      </c>
      <c r="J69" s="83" t="s">
        <v>1533</v>
      </c>
      <c r="M69" s="21">
        <f t="shared" si="0"/>
        <v>448.8</v>
      </c>
      <c r="N69" s="66" t="e">
        <f>M69-#REF!</f>
        <v>#REF!</v>
      </c>
      <c r="O69" s="21" t="e">
        <f t="shared" si="13"/>
        <v>#REF!</v>
      </c>
    </row>
    <row r="70" spans="1:15" s="21" customFormat="1" ht="24" x14ac:dyDescent="0.2">
      <c r="A70" s="128">
        <f t="shared" si="6"/>
        <v>55</v>
      </c>
      <c r="B70" s="127" t="s">
        <v>1492</v>
      </c>
      <c r="C70" s="53" t="s">
        <v>1506</v>
      </c>
      <c r="D70" s="79">
        <v>5</v>
      </c>
      <c r="E70" s="82">
        <v>140</v>
      </c>
      <c r="F70" s="56">
        <f t="shared" si="22"/>
        <v>700</v>
      </c>
      <c r="G70" s="56">
        <f t="shared" si="23"/>
        <v>119.00000000000001</v>
      </c>
      <c r="H70" s="85">
        <f t="shared" si="24"/>
        <v>163.79999999999998</v>
      </c>
      <c r="I70" s="56">
        <f t="shared" si="25"/>
        <v>818.99999999999989</v>
      </c>
      <c r="J70" s="83" t="s">
        <v>1533</v>
      </c>
      <c r="M70" s="21">
        <f t="shared" si="0"/>
        <v>448.8</v>
      </c>
      <c r="N70" s="66" t="e">
        <f>M70-#REF!</f>
        <v>#REF!</v>
      </c>
      <c r="O70" s="21" t="e">
        <f t="shared" si="13"/>
        <v>#REF!</v>
      </c>
    </row>
    <row r="71" spans="1:15" s="21" customFormat="1" ht="24" x14ac:dyDescent="0.2">
      <c r="A71" s="128">
        <f t="shared" si="6"/>
        <v>56</v>
      </c>
      <c r="B71" s="127" t="s">
        <v>1518</v>
      </c>
      <c r="C71" s="53" t="s">
        <v>1505</v>
      </c>
      <c r="D71" s="79">
        <v>2</v>
      </c>
      <c r="E71" s="82">
        <v>25</v>
      </c>
      <c r="F71" s="56">
        <f t="shared" si="22"/>
        <v>50</v>
      </c>
      <c r="G71" s="56">
        <f t="shared" si="23"/>
        <v>8.5</v>
      </c>
      <c r="H71" s="85">
        <f t="shared" si="24"/>
        <v>29.25</v>
      </c>
      <c r="I71" s="56">
        <f t="shared" si="25"/>
        <v>58.5</v>
      </c>
      <c r="J71" s="83" t="s">
        <v>1533</v>
      </c>
      <c r="M71" s="21">
        <f t="shared" si="0"/>
        <v>448.8</v>
      </c>
      <c r="N71" s="66" t="e">
        <f>M71-#REF!</f>
        <v>#REF!</v>
      </c>
      <c r="O71" s="21" t="e">
        <f t="shared" si="13"/>
        <v>#REF!</v>
      </c>
    </row>
    <row r="72" spans="1:15" s="21" customFormat="1" ht="15.75" x14ac:dyDescent="0.2">
      <c r="A72" s="128">
        <f t="shared" si="6"/>
        <v>57</v>
      </c>
      <c r="B72" s="127" t="s">
        <v>1498</v>
      </c>
      <c r="C72" s="53" t="s">
        <v>1506</v>
      </c>
      <c r="D72" s="79">
        <v>3</v>
      </c>
      <c r="E72" s="82">
        <v>175</v>
      </c>
      <c r="F72" s="56">
        <f t="shared" si="22"/>
        <v>525</v>
      </c>
      <c r="G72" s="56">
        <f t="shared" si="23"/>
        <v>89.25</v>
      </c>
      <c r="H72" s="85">
        <f t="shared" si="24"/>
        <v>204.75</v>
      </c>
      <c r="I72" s="56">
        <f t="shared" si="25"/>
        <v>614.25</v>
      </c>
      <c r="J72" s="83" t="s">
        <v>1533</v>
      </c>
      <c r="M72" s="21">
        <f t="shared" si="0"/>
        <v>448.8</v>
      </c>
      <c r="N72" s="66" t="e">
        <f>M72-#REF!</f>
        <v>#REF!</v>
      </c>
      <c r="O72" s="21" t="e">
        <f t="shared" si="13"/>
        <v>#REF!</v>
      </c>
    </row>
    <row r="73" spans="1:15" s="21" customFormat="1" ht="15.75" x14ac:dyDescent="0.2">
      <c r="A73" s="128">
        <f t="shared" si="6"/>
        <v>58</v>
      </c>
      <c r="B73" s="127" t="s">
        <v>1530</v>
      </c>
      <c r="C73" s="53" t="s">
        <v>1506</v>
      </c>
      <c r="D73" s="79">
        <v>2</v>
      </c>
      <c r="E73" s="82">
        <v>135</v>
      </c>
      <c r="F73" s="56">
        <f t="shared" si="7"/>
        <v>270</v>
      </c>
      <c r="G73" s="56">
        <f t="shared" si="8"/>
        <v>45.900000000000006</v>
      </c>
      <c r="H73" s="85">
        <f t="shared" si="9"/>
        <v>157.94999999999999</v>
      </c>
      <c r="I73" s="56">
        <f t="shared" si="10"/>
        <v>315.89999999999998</v>
      </c>
      <c r="J73" s="83" t="s">
        <v>1533</v>
      </c>
      <c r="M73" s="21">
        <f t="shared" si="0"/>
        <v>448.8</v>
      </c>
      <c r="N73" s="66" t="e">
        <f>M73-#REF!</f>
        <v>#REF!</v>
      </c>
      <c r="O73" s="21" t="e">
        <f t="shared" si="1"/>
        <v>#REF!</v>
      </c>
    </row>
    <row r="74" spans="1:15" s="21" customFormat="1" ht="15.75" x14ac:dyDescent="0.2">
      <c r="A74" s="128">
        <f t="shared" si="6"/>
        <v>59</v>
      </c>
      <c r="B74" s="127" t="s">
        <v>1519</v>
      </c>
      <c r="C74" s="53" t="s">
        <v>1506</v>
      </c>
      <c r="D74" s="79">
        <v>3</v>
      </c>
      <c r="E74" s="82">
        <v>32</v>
      </c>
      <c r="F74" s="56">
        <f t="shared" si="7"/>
        <v>96</v>
      </c>
      <c r="G74" s="56">
        <f>F74*0</f>
        <v>0</v>
      </c>
      <c r="H74" s="85">
        <f>E74*1</f>
        <v>32</v>
      </c>
      <c r="I74" s="56">
        <f t="shared" si="10"/>
        <v>96</v>
      </c>
      <c r="J74" s="83" t="s">
        <v>1540</v>
      </c>
      <c r="M74" s="21">
        <f t="shared" si="0"/>
        <v>448.8</v>
      </c>
      <c r="N74" s="66" t="e">
        <f>M74-#REF!</f>
        <v>#REF!</v>
      </c>
      <c r="O74" s="21" t="e">
        <f t="shared" si="1"/>
        <v>#REF!</v>
      </c>
    </row>
    <row r="75" spans="1:15" s="21" customFormat="1" ht="24" x14ac:dyDescent="0.2">
      <c r="A75" s="128">
        <f t="shared" si="6"/>
        <v>60</v>
      </c>
      <c r="B75" s="127" t="s">
        <v>1488</v>
      </c>
      <c r="C75" s="53" t="s">
        <v>1505</v>
      </c>
      <c r="D75" s="79">
        <v>1</v>
      </c>
      <c r="E75" s="82">
        <v>300</v>
      </c>
      <c r="F75" s="56">
        <f t="shared" si="7"/>
        <v>300</v>
      </c>
      <c r="G75" s="56">
        <f>F75*0</f>
        <v>0</v>
      </c>
      <c r="H75" s="85">
        <f>E75*1</f>
        <v>300</v>
      </c>
      <c r="I75" s="56">
        <f t="shared" si="10"/>
        <v>300</v>
      </c>
      <c r="J75" s="83" t="s">
        <v>1540</v>
      </c>
      <c r="M75" s="21">
        <f t="shared" si="0"/>
        <v>448.8</v>
      </c>
      <c r="N75" s="66" t="e">
        <f>M75-#REF!</f>
        <v>#REF!</v>
      </c>
      <c r="O75" s="21" t="e">
        <f t="shared" si="1"/>
        <v>#REF!</v>
      </c>
    </row>
    <row r="76" spans="1:15" s="21" customFormat="1" ht="15.75" x14ac:dyDescent="0.2">
      <c r="A76" s="128">
        <f t="shared" si="6"/>
        <v>61</v>
      </c>
      <c r="B76" s="127" t="s">
        <v>1489</v>
      </c>
      <c r="C76" s="53" t="s">
        <v>1506</v>
      </c>
      <c r="D76" s="79">
        <v>12</v>
      </c>
      <c r="E76" s="82">
        <v>12</v>
      </c>
      <c r="F76" s="56">
        <f t="shared" si="7"/>
        <v>144</v>
      </c>
      <c r="G76" s="56">
        <f t="shared" si="8"/>
        <v>24.48</v>
      </c>
      <c r="H76" s="85">
        <f t="shared" si="9"/>
        <v>14.04</v>
      </c>
      <c r="I76" s="56">
        <f t="shared" si="10"/>
        <v>168.48</v>
      </c>
      <c r="J76" s="83" t="s">
        <v>1540</v>
      </c>
      <c r="M76" s="21">
        <f t="shared" si="0"/>
        <v>448.8</v>
      </c>
      <c r="N76" s="66" t="e">
        <f>M76-#REF!</f>
        <v>#REF!</v>
      </c>
      <c r="O76" s="21" t="e">
        <f t="shared" si="1"/>
        <v>#REF!</v>
      </c>
    </row>
    <row r="77" spans="1:15" s="21" customFormat="1" ht="15.75" x14ac:dyDescent="0.25">
      <c r="A77" s="128">
        <f t="shared" si="6"/>
        <v>62</v>
      </c>
      <c r="B77" s="126" t="s">
        <v>1528</v>
      </c>
      <c r="C77" s="53" t="s">
        <v>23</v>
      </c>
      <c r="D77" s="79">
        <v>1</v>
      </c>
      <c r="E77" s="82">
        <v>100</v>
      </c>
      <c r="F77" s="56">
        <f>D77*E77</f>
        <v>100</v>
      </c>
      <c r="G77" s="56">
        <f>F77*0.17</f>
        <v>17</v>
      </c>
      <c r="H77" s="85">
        <f>E77*1.17</f>
        <v>117</v>
      </c>
      <c r="I77" s="56">
        <f>H77*D77</f>
        <v>117</v>
      </c>
      <c r="J77" s="83" t="s">
        <v>1540</v>
      </c>
      <c r="M77" s="21">
        <f t="shared" ref="M77:M141" si="26">440*1.02</f>
        <v>448.8</v>
      </c>
      <c r="N77" s="66" t="e">
        <f>M77-#REF!</f>
        <v>#REF!</v>
      </c>
      <c r="O77" s="21" t="e">
        <f t="shared" ref="O77:O141" si="27">N77*D77</f>
        <v>#REF!</v>
      </c>
    </row>
    <row r="78" spans="1:15" s="21" customFormat="1" ht="15.75" x14ac:dyDescent="0.2">
      <c r="A78" s="128">
        <f t="shared" si="6"/>
        <v>63</v>
      </c>
      <c r="B78" s="127" t="s">
        <v>1534</v>
      </c>
      <c r="C78" s="53" t="s">
        <v>76</v>
      </c>
      <c r="D78" s="79">
        <v>16</v>
      </c>
      <c r="E78" s="82">
        <v>75</v>
      </c>
      <c r="F78" s="56">
        <f t="shared" ref="F78:F92" si="28">D78*E78</f>
        <v>1200</v>
      </c>
      <c r="G78" s="56">
        <f>F78*0</f>
        <v>0</v>
      </c>
      <c r="H78" s="85">
        <f>E78*1</f>
        <v>75</v>
      </c>
      <c r="I78" s="56">
        <f t="shared" ref="I78:I92" si="29">H78*D78</f>
        <v>1200</v>
      </c>
      <c r="J78" s="83" t="s">
        <v>1541</v>
      </c>
      <c r="M78" s="21">
        <f t="shared" si="26"/>
        <v>448.8</v>
      </c>
      <c r="N78" s="66" t="e">
        <f>M78-#REF!</f>
        <v>#REF!</v>
      </c>
      <c r="O78" s="21" t="e">
        <f t="shared" ref="O78:O93" si="30">N78*D78</f>
        <v>#REF!</v>
      </c>
    </row>
    <row r="79" spans="1:15" s="21" customFormat="1" ht="15.75" x14ac:dyDescent="0.2">
      <c r="A79" s="128">
        <f t="shared" si="6"/>
        <v>64</v>
      </c>
      <c r="B79" s="127" t="s">
        <v>1535</v>
      </c>
      <c r="C79" s="53" t="s">
        <v>76</v>
      </c>
      <c r="D79" s="79">
        <v>5</v>
      </c>
      <c r="E79" s="82">
        <v>75</v>
      </c>
      <c r="F79" s="56">
        <f t="shared" si="28"/>
        <v>375</v>
      </c>
      <c r="G79" s="56">
        <f>F79*0</f>
        <v>0</v>
      </c>
      <c r="H79" s="85">
        <f>E79*1</f>
        <v>75</v>
      </c>
      <c r="I79" s="56">
        <f t="shared" si="29"/>
        <v>375</v>
      </c>
      <c r="J79" s="83" t="s">
        <v>1541</v>
      </c>
      <c r="M79" s="21">
        <f t="shared" si="26"/>
        <v>448.8</v>
      </c>
      <c r="N79" s="66" t="e">
        <f>M79-#REF!</f>
        <v>#REF!</v>
      </c>
      <c r="O79" s="21" t="e">
        <f t="shared" si="30"/>
        <v>#REF!</v>
      </c>
    </row>
    <row r="80" spans="1:15" s="21" customFormat="1" ht="24" x14ac:dyDescent="0.2">
      <c r="A80" s="128">
        <f t="shared" si="6"/>
        <v>65</v>
      </c>
      <c r="B80" s="127" t="s">
        <v>1514</v>
      </c>
      <c r="C80" s="53" t="s">
        <v>1505</v>
      </c>
      <c r="D80" s="79">
        <v>1</v>
      </c>
      <c r="E80" s="82">
        <v>35</v>
      </c>
      <c r="F80" s="56">
        <f t="shared" si="28"/>
        <v>35</v>
      </c>
      <c r="G80" s="56">
        <f t="shared" ref="G80:G92" si="31">F80*0.17</f>
        <v>5.95</v>
      </c>
      <c r="H80" s="85">
        <f t="shared" ref="H80:H92" si="32">E80*1.17</f>
        <v>40.949999999999996</v>
      </c>
      <c r="I80" s="56">
        <f t="shared" si="29"/>
        <v>40.949999999999996</v>
      </c>
      <c r="J80" s="83" t="s">
        <v>1542</v>
      </c>
      <c r="M80" s="21">
        <f t="shared" si="26"/>
        <v>448.8</v>
      </c>
      <c r="N80" s="66" t="e">
        <f>M80-#REF!</f>
        <v>#REF!</v>
      </c>
      <c r="O80" s="21" t="e">
        <f t="shared" si="30"/>
        <v>#REF!</v>
      </c>
    </row>
    <row r="81" spans="1:15" s="21" customFormat="1" ht="15.75" x14ac:dyDescent="0.2">
      <c r="A81" s="128">
        <f t="shared" si="6"/>
        <v>66</v>
      </c>
      <c r="B81" s="127" t="s">
        <v>1516</v>
      </c>
      <c r="C81" s="53" t="s">
        <v>1506</v>
      </c>
      <c r="D81" s="79">
        <v>1</v>
      </c>
      <c r="E81" s="82">
        <v>18</v>
      </c>
      <c r="F81" s="56">
        <f t="shared" si="28"/>
        <v>18</v>
      </c>
      <c r="G81" s="56">
        <f t="shared" si="31"/>
        <v>3.06</v>
      </c>
      <c r="H81" s="85">
        <f t="shared" si="32"/>
        <v>21.06</v>
      </c>
      <c r="I81" s="56">
        <f t="shared" si="29"/>
        <v>21.06</v>
      </c>
      <c r="J81" s="83" t="s">
        <v>1542</v>
      </c>
      <c r="M81" s="21">
        <f t="shared" si="26"/>
        <v>448.8</v>
      </c>
      <c r="N81" s="66" t="e">
        <f>M81-#REF!</f>
        <v>#REF!</v>
      </c>
      <c r="O81" s="21" t="e">
        <f t="shared" si="30"/>
        <v>#REF!</v>
      </c>
    </row>
    <row r="82" spans="1:15" s="21" customFormat="1" ht="15.75" x14ac:dyDescent="0.2">
      <c r="A82" s="128">
        <f t="shared" ref="A82:A140" si="33">A81+1</f>
        <v>67</v>
      </c>
      <c r="B82" s="127" t="s">
        <v>1487</v>
      </c>
      <c r="C82" s="53" t="s">
        <v>1506</v>
      </c>
      <c r="D82" s="79">
        <v>1</v>
      </c>
      <c r="E82" s="82">
        <v>155</v>
      </c>
      <c r="F82" s="56">
        <f t="shared" si="28"/>
        <v>155</v>
      </c>
      <c r="G82" s="56">
        <f t="shared" si="31"/>
        <v>26.35</v>
      </c>
      <c r="H82" s="85">
        <f t="shared" si="32"/>
        <v>181.35</v>
      </c>
      <c r="I82" s="56">
        <f t="shared" si="29"/>
        <v>181.35</v>
      </c>
      <c r="J82" s="83" t="s">
        <v>1542</v>
      </c>
      <c r="M82" s="21">
        <f t="shared" si="26"/>
        <v>448.8</v>
      </c>
      <c r="N82" s="66" t="e">
        <f>M82-#REF!</f>
        <v>#REF!</v>
      </c>
      <c r="O82" s="21" t="e">
        <f t="shared" si="30"/>
        <v>#REF!</v>
      </c>
    </row>
    <row r="83" spans="1:15" s="21" customFormat="1" ht="24" x14ac:dyDescent="0.2">
      <c r="A83" s="128">
        <f t="shared" si="33"/>
        <v>68</v>
      </c>
      <c r="B83" s="127" t="s">
        <v>1488</v>
      </c>
      <c r="C83" s="53" t="s">
        <v>1505</v>
      </c>
      <c r="D83" s="79">
        <v>1</v>
      </c>
      <c r="E83" s="82">
        <v>300</v>
      </c>
      <c r="F83" s="56">
        <f t="shared" si="28"/>
        <v>300</v>
      </c>
      <c r="G83" s="56">
        <f>F83*0</f>
        <v>0</v>
      </c>
      <c r="H83" s="85">
        <f>E83*1</f>
        <v>300</v>
      </c>
      <c r="I83" s="56">
        <f t="shared" si="29"/>
        <v>300</v>
      </c>
      <c r="J83" s="83" t="s">
        <v>1542</v>
      </c>
      <c r="M83" s="21">
        <f t="shared" si="26"/>
        <v>448.8</v>
      </c>
      <c r="N83" s="66" t="e">
        <f>M83-#REF!</f>
        <v>#REF!</v>
      </c>
      <c r="O83" s="21" t="e">
        <f t="shared" si="30"/>
        <v>#REF!</v>
      </c>
    </row>
    <row r="84" spans="1:15" s="21" customFormat="1" ht="24" x14ac:dyDescent="0.2">
      <c r="A84" s="128">
        <f t="shared" si="33"/>
        <v>69</v>
      </c>
      <c r="B84" s="127" t="s">
        <v>1513</v>
      </c>
      <c r="C84" s="53" t="s">
        <v>1505</v>
      </c>
      <c r="D84" s="79">
        <v>1</v>
      </c>
      <c r="E84" s="82">
        <v>75</v>
      </c>
      <c r="F84" s="56">
        <f t="shared" si="28"/>
        <v>75</v>
      </c>
      <c r="G84" s="56">
        <f>F84*0</f>
        <v>0</v>
      </c>
      <c r="H84" s="85">
        <f>E84*1</f>
        <v>75</v>
      </c>
      <c r="I84" s="56">
        <f t="shared" si="29"/>
        <v>75</v>
      </c>
      <c r="J84" s="83" t="s">
        <v>1542</v>
      </c>
      <c r="M84" s="21">
        <f t="shared" si="26"/>
        <v>448.8</v>
      </c>
      <c r="N84" s="66" t="e">
        <f>M84-#REF!</f>
        <v>#REF!</v>
      </c>
      <c r="O84" s="21" t="e">
        <f t="shared" si="30"/>
        <v>#REF!</v>
      </c>
    </row>
    <row r="85" spans="1:15" s="21" customFormat="1" ht="15.75" x14ac:dyDescent="0.2">
      <c r="A85" s="128">
        <f t="shared" si="33"/>
        <v>70</v>
      </c>
      <c r="B85" s="127" t="s">
        <v>1528</v>
      </c>
      <c r="C85" s="53" t="s">
        <v>23</v>
      </c>
      <c r="D85" s="79">
        <v>1</v>
      </c>
      <c r="E85" s="82">
        <v>100</v>
      </c>
      <c r="F85" s="56">
        <f t="shared" si="28"/>
        <v>100</v>
      </c>
      <c r="G85" s="56">
        <f t="shared" si="31"/>
        <v>17</v>
      </c>
      <c r="H85" s="85">
        <f t="shared" si="32"/>
        <v>117</v>
      </c>
      <c r="I85" s="56">
        <f t="shared" si="29"/>
        <v>117</v>
      </c>
      <c r="J85" s="83" t="s">
        <v>1542</v>
      </c>
      <c r="M85" s="21">
        <f t="shared" si="26"/>
        <v>448.8</v>
      </c>
      <c r="N85" s="66" t="e">
        <f>M85-#REF!</f>
        <v>#REF!</v>
      </c>
      <c r="O85" s="21" t="e">
        <f t="shared" si="30"/>
        <v>#REF!</v>
      </c>
    </row>
    <row r="86" spans="1:15" s="21" customFormat="1" ht="24" x14ac:dyDescent="0.2">
      <c r="A86" s="128">
        <f t="shared" si="33"/>
        <v>71</v>
      </c>
      <c r="B86" s="127" t="s">
        <v>1491</v>
      </c>
      <c r="C86" s="53" t="s">
        <v>1506</v>
      </c>
      <c r="D86" s="79">
        <v>1</v>
      </c>
      <c r="E86" s="82">
        <v>105</v>
      </c>
      <c r="F86" s="56">
        <f t="shared" si="28"/>
        <v>105</v>
      </c>
      <c r="G86" s="56">
        <f t="shared" si="31"/>
        <v>17.850000000000001</v>
      </c>
      <c r="H86" s="85">
        <f t="shared" si="32"/>
        <v>122.85</v>
      </c>
      <c r="I86" s="56">
        <f t="shared" si="29"/>
        <v>122.85</v>
      </c>
      <c r="J86" s="83" t="s">
        <v>1542</v>
      </c>
      <c r="M86" s="21">
        <f t="shared" si="26"/>
        <v>448.8</v>
      </c>
      <c r="N86" s="66" t="e">
        <f>M86-#REF!</f>
        <v>#REF!</v>
      </c>
      <c r="O86" s="21" t="e">
        <f t="shared" si="30"/>
        <v>#REF!</v>
      </c>
    </row>
    <row r="87" spans="1:15" s="21" customFormat="1" ht="15.75" x14ac:dyDescent="0.2">
      <c r="A87" s="128">
        <f t="shared" si="33"/>
        <v>72</v>
      </c>
      <c r="B87" s="127" t="s">
        <v>1501</v>
      </c>
      <c r="C87" s="53" t="s">
        <v>1506</v>
      </c>
      <c r="D87" s="79">
        <v>1</v>
      </c>
      <c r="E87" s="82">
        <v>28</v>
      </c>
      <c r="F87" s="56">
        <f t="shared" si="28"/>
        <v>28</v>
      </c>
      <c r="G87" s="56">
        <f>F87*0</f>
        <v>0</v>
      </c>
      <c r="H87" s="85">
        <f>E87*1</f>
        <v>28</v>
      </c>
      <c r="I87" s="56">
        <f t="shared" si="29"/>
        <v>28</v>
      </c>
      <c r="J87" s="83" t="s">
        <v>1542</v>
      </c>
      <c r="M87" s="21">
        <f t="shared" si="26"/>
        <v>448.8</v>
      </c>
      <c r="N87" s="66" t="e">
        <f>M87-#REF!</f>
        <v>#REF!</v>
      </c>
      <c r="O87" s="21" t="e">
        <f t="shared" si="30"/>
        <v>#REF!</v>
      </c>
    </row>
    <row r="88" spans="1:15" s="21" customFormat="1" ht="15.75" x14ac:dyDescent="0.2">
      <c r="A88" s="128">
        <f t="shared" si="33"/>
        <v>73</v>
      </c>
      <c r="B88" s="127" t="s">
        <v>1495</v>
      </c>
      <c r="C88" s="53" t="s">
        <v>1506</v>
      </c>
      <c r="D88" s="79">
        <v>1</v>
      </c>
      <c r="E88" s="82">
        <v>110</v>
      </c>
      <c r="F88" s="56">
        <f t="shared" si="28"/>
        <v>110</v>
      </c>
      <c r="G88" s="56">
        <f t="shared" si="31"/>
        <v>18.700000000000003</v>
      </c>
      <c r="H88" s="85">
        <f t="shared" si="32"/>
        <v>128.69999999999999</v>
      </c>
      <c r="I88" s="56">
        <f t="shared" si="29"/>
        <v>128.69999999999999</v>
      </c>
      <c r="J88" s="83" t="s">
        <v>1542</v>
      </c>
      <c r="M88" s="21">
        <f t="shared" si="26"/>
        <v>448.8</v>
      </c>
      <c r="N88" s="66" t="e">
        <f>M88-#REF!</f>
        <v>#REF!</v>
      </c>
      <c r="O88" s="21" t="e">
        <f t="shared" si="30"/>
        <v>#REF!</v>
      </c>
    </row>
    <row r="89" spans="1:15" s="21" customFormat="1" ht="24" x14ac:dyDescent="0.2">
      <c r="A89" s="128">
        <f t="shared" si="33"/>
        <v>74</v>
      </c>
      <c r="B89" s="127" t="s">
        <v>1496</v>
      </c>
      <c r="C89" s="53" t="s">
        <v>1506</v>
      </c>
      <c r="D89" s="79">
        <v>1</v>
      </c>
      <c r="E89" s="82">
        <v>30</v>
      </c>
      <c r="F89" s="56">
        <f t="shared" si="28"/>
        <v>30</v>
      </c>
      <c r="G89" s="56">
        <f t="shared" si="31"/>
        <v>5.1000000000000005</v>
      </c>
      <c r="H89" s="85">
        <f t="shared" si="32"/>
        <v>35.099999999999994</v>
      </c>
      <c r="I89" s="56">
        <f t="shared" si="29"/>
        <v>35.099999999999994</v>
      </c>
      <c r="J89" s="83" t="s">
        <v>1542</v>
      </c>
      <c r="M89" s="21">
        <f t="shared" si="26"/>
        <v>448.8</v>
      </c>
      <c r="N89" s="66" t="e">
        <f>M89-#REF!</f>
        <v>#REF!</v>
      </c>
      <c r="O89" s="21" t="e">
        <f t="shared" si="30"/>
        <v>#REF!</v>
      </c>
    </row>
    <row r="90" spans="1:15" s="21" customFormat="1" ht="15.75" x14ac:dyDescent="0.2">
      <c r="A90" s="128">
        <f t="shared" si="33"/>
        <v>75</v>
      </c>
      <c r="B90" s="127" t="s">
        <v>1502</v>
      </c>
      <c r="C90" s="53" t="s">
        <v>1506</v>
      </c>
      <c r="D90" s="79">
        <v>1</v>
      </c>
      <c r="E90" s="82">
        <v>7</v>
      </c>
      <c r="F90" s="56">
        <f t="shared" si="28"/>
        <v>7</v>
      </c>
      <c r="G90" s="56">
        <f>F90*0</f>
        <v>0</v>
      </c>
      <c r="H90" s="85">
        <f>E90*1</f>
        <v>7</v>
      </c>
      <c r="I90" s="56">
        <f t="shared" si="29"/>
        <v>7</v>
      </c>
      <c r="J90" s="83" t="s">
        <v>1542</v>
      </c>
      <c r="M90" s="21">
        <f t="shared" si="26"/>
        <v>448.8</v>
      </c>
      <c r="N90" s="66" t="e">
        <f>M90-#REF!</f>
        <v>#REF!</v>
      </c>
      <c r="O90" s="21" t="e">
        <f t="shared" si="30"/>
        <v>#REF!</v>
      </c>
    </row>
    <row r="91" spans="1:15" s="21" customFormat="1" ht="15.75" x14ac:dyDescent="0.2">
      <c r="A91" s="128">
        <f t="shared" si="33"/>
        <v>76</v>
      </c>
      <c r="B91" s="127" t="s">
        <v>1536</v>
      </c>
      <c r="C91" s="53" t="s">
        <v>1506</v>
      </c>
      <c r="D91" s="79">
        <v>1</v>
      </c>
      <c r="E91" s="82">
        <v>25</v>
      </c>
      <c r="F91" s="56">
        <f t="shared" si="28"/>
        <v>25</v>
      </c>
      <c r="G91" s="56">
        <f t="shared" si="31"/>
        <v>4.25</v>
      </c>
      <c r="H91" s="85">
        <f t="shared" si="32"/>
        <v>29.25</v>
      </c>
      <c r="I91" s="56">
        <f t="shared" si="29"/>
        <v>29.25</v>
      </c>
      <c r="J91" s="83" t="s">
        <v>1542</v>
      </c>
      <c r="M91" s="21">
        <f t="shared" si="26"/>
        <v>448.8</v>
      </c>
      <c r="N91" s="66" t="e">
        <f>M91-#REF!</f>
        <v>#REF!</v>
      </c>
      <c r="O91" s="21" t="e">
        <f t="shared" si="30"/>
        <v>#REF!</v>
      </c>
    </row>
    <row r="92" spans="1:15" s="21" customFormat="1" ht="15.75" x14ac:dyDescent="0.2">
      <c r="A92" s="128">
        <f t="shared" si="33"/>
        <v>77</v>
      </c>
      <c r="B92" s="127" t="s">
        <v>1497</v>
      </c>
      <c r="C92" s="53" t="s">
        <v>1506</v>
      </c>
      <c r="D92" s="79">
        <v>1</v>
      </c>
      <c r="E92" s="82">
        <v>28</v>
      </c>
      <c r="F92" s="56">
        <f t="shared" si="28"/>
        <v>28</v>
      </c>
      <c r="G92" s="56">
        <f t="shared" si="31"/>
        <v>4.7600000000000007</v>
      </c>
      <c r="H92" s="85">
        <f t="shared" si="32"/>
        <v>32.76</v>
      </c>
      <c r="I92" s="56">
        <f t="shared" si="29"/>
        <v>32.76</v>
      </c>
      <c r="J92" s="83" t="s">
        <v>1542</v>
      </c>
      <c r="M92" s="21">
        <f t="shared" si="26"/>
        <v>448.8</v>
      </c>
      <c r="N92" s="66" t="e">
        <f>M92-#REF!</f>
        <v>#REF!</v>
      </c>
      <c r="O92" s="21" t="e">
        <f t="shared" si="30"/>
        <v>#REF!</v>
      </c>
    </row>
    <row r="93" spans="1:15" s="21" customFormat="1" ht="15.75" x14ac:dyDescent="0.25">
      <c r="A93" s="128">
        <f t="shared" si="33"/>
        <v>78</v>
      </c>
      <c r="B93" s="126" t="s">
        <v>1498</v>
      </c>
      <c r="C93" s="53" t="s">
        <v>1506</v>
      </c>
      <c r="D93" s="79">
        <v>1</v>
      </c>
      <c r="E93" s="82">
        <v>175</v>
      </c>
      <c r="F93" s="56">
        <f>D93*E93</f>
        <v>175</v>
      </c>
      <c r="G93" s="56">
        <f>F93*0.17</f>
        <v>29.750000000000004</v>
      </c>
      <c r="H93" s="85">
        <f>E93*1.17</f>
        <v>204.75</v>
      </c>
      <c r="I93" s="56">
        <f>H93*D93</f>
        <v>204.75</v>
      </c>
      <c r="J93" s="83" t="s">
        <v>1542</v>
      </c>
      <c r="M93" s="21">
        <f t="shared" si="26"/>
        <v>448.8</v>
      </c>
      <c r="N93" s="66" t="e">
        <f>M93-#REF!</f>
        <v>#REF!</v>
      </c>
      <c r="O93" s="21" t="e">
        <f t="shared" si="30"/>
        <v>#REF!</v>
      </c>
    </row>
    <row r="94" spans="1:15" s="21" customFormat="1" ht="15.75" x14ac:dyDescent="0.2">
      <c r="A94" s="128">
        <f t="shared" si="33"/>
        <v>79</v>
      </c>
      <c r="B94" s="127" t="s">
        <v>1504</v>
      </c>
      <c r="C94" s="53" t="s">
        <v>1506</v>
      </c>
      <c r="D94" s="79">
        <v>3</v>
      </c>
      <c r="E94" s="82">
        <v>20</v>
      </c>
      <c r="F94" s="56">
        <f t="shared" ref="F94:F140" si="34">D94*E94</f>
        <v>60</v>
      </c>
      <c r="G94" s="56">
        <f t="shared" ref="G94:G139" si="35">F94*0.17</f>
        <v>10.200000000000001</v>
      </c>
      <c r="H94" s="85">
        <f t="shared" ref="H94:H139" si="36">E94*1.17</f>
        <v>23.4</v>
      </c>
      <c r="I94" s="56">
        <f t="shared" ref="I94:I140" si="37">H94*D94</f>
        <v>70.199999999999989</v>
      </c>
      <c r="J94" s="83" t="s">
        <v>1542</v>
      </c>
      <c r="M94" s="21">
        <f t="shared" si="26"/>
        <v>448.8</v>
      </c>
      <c r="N94" s="66" t="e">
        <f>M94-#REF!</f>
        <v>#REF!</v>
      </c>
      <c r="O94" s="21" t="e">
        <f t="shared" ref="O94:O140" si="38">N94*D94</f>
        <v>#REF!</v>
      </c>
    </row>
    <row r="95" spans="1:15" s="21" customFormat="1" ht="15.75" x14ac:dyDescent="0.2">
      <c r="A95" s="128">
        <f t="shared" si="33"/>
        <v>80</v>
      </c>
      <c r="B95" s="127" t="s">
        <v>1534</v>
      </c>
      <c r="C95" s="53" t="s">
        <v>1505</v>
      </c>
      <c r="D95" s="79">
        <v>1</v>
      </c>
      <c r="E95" s="82">
        <v>75</v>
      </c>
      <c r="F95" s="56">
        <f t="shared" si="34"/>
        <v>75</v>
      </c>
      <c r="G95" s="56">
        <f>F95*0</f>
        <v>0</v>
      </c>
      <c r="H95" s="85">
        <f>E95*1</f>
        <v>75</v>
      </c>
      <c r="I95" s="56">
        <f t="shared" si="37"/>
        <v>75</v>
      </c>
      <c r="J95" s="83" t="s">
        <v>1542</v>
      </c>
      <c r="M95" s="21">
        <f t="shared" si="26"/>
        <v>448.8</v>
      </c>
      <c r="N95" s="66" t="e">
        <f>M95-#REF!</f>
        <v>#REF!</v>
      </c>
      <c r="O95" s="21" t="e">
        <f t="shared" si="38"/>
        <v>#REF!</v>
      </c>
    </row>
    <row r="96" spans="1:15" s="21" customFormat="1" ht="15.75" x14ac:dyDescent="0.2">
      <c r="A96" s="128">
        <f t="shared" si="33"/>
        <v>81</v>
      </c>
      <c r="B96" s="127" t="s">
        <v>1516</v>
      </c>
      <c r="C96" s="53" t="s">
        <v>1506</v>
      </c>
      <c r="D96" s="79">
        <v>1</v>
      </c>
      <c r="E96" s="82">
        <v>18</v>
      </c>
      <c r="F96" s="56">
        <f t="shared" ref="F96:F108" si="39">D96*E96</f>
        <v>18</v>
      </c>
      <c r="G96" s="56">
        <f t="shared" ref="G96:G108" si="40">F96*0.17</f>
        <v>3.06</v>
      </c>
      <c r="H96" s="85">
        <f t="shared" ref="H96:H108" si="41">E96*1.17</f>
        <v>21.06</v>
      </c>
      <c r="I96" s="56">
        <f t="shared" ref="I96:I108" si="42">H96*D96</f>
        <v>21.06</v>
      </c>
      <c r="J96" s="83" t="s">
        <v>1543</v>
      </c>
      <c r="M96" s="21">
        <f t="shared" si="26"/>
        <v>448.8</v>
      </c>
      <c r="N96" s="66" t="e">
        <f>M96-#REF!</f>
        <v>#REF!</v>
      </c>
      <c r="O96" s="21" t="e">
        <f t="shared" ref="O96:O108" si="43">N96*D96</f>
        <v>#REF!</v>
      </c>
    </row>
    <row r="97" spans="1:15" s="21" customFormat="1" ht="24" x14ac:dyDescent="0.2">
      <c r="A97" s="128">
        <f t="shared" si="33"/>
        <v>82</v>
      </c>
      <c r="B97" s="127" t="s">
        <v>1517</v>
      </c>
      <c r="C97" s="53" t="s">
        <v>1506</v>
      </c>
      <c r="D97" s="79">
        <v>1</v>
      </c>
      <c r="E97" s="82">
        <v>250</v>
      </c>
      <c r="F97" s="56">
        <f t="shared" si="39"/>
        <v>250</v>
      </c>
      <c r="G97" s="56">
        <f t="shared" si="40"/>
        <v>42.5</v>
      </c>
      <c r="H97" s="85">
        <f t="shared" si="41"/>
        <v>292.5</v>
      </c>
      <c r="I97" s="56">
        <f t="shared" si="42"/>
        <v>292.5</v>
      </c>
      <c r="J97" s="83" t="s">
        <v>1543</v>
      </c>
      <c r="M97" s="21">
        <f t="shared" si="26"/>
        <v>448.8</v>
      </c>
      <c r="N97" s="66" t="e">
        <f>M97-#REF!</f>
        <v>#REF!</v>
      </c>
      <c r="O97" s="21" t="e">
        <f t="shared" si="43"/>
        <v>#REF!</v>
      </c>
    </row>
    <row r="98" spans="1:15" s="21" customFormat="1" ht="24" x14ac:dyDescent="0.2">
      <c r="A98" s="128">
        <f t="shared" si="33"/>
        <v>83</v>
      </c>
      <c r="B98" s="127" t="s">
        <v>1500</v>
      </c>
      <c r="C98" s="53" t="s">
        <v>1505</v>
      </c>
      <c r="D98" s="79">
        <v>1</v>
      </c>
      <c r="E98" s="82">
        <v>350</v>
      </c>
      <c r="F98" s="56">
        <f t="shared" si="39"/>
        <v>350</v>
      </c>
      <c r="G98" s="56">
        <f t="shared" si="40"/>
        <v>59.500000000000007</v>
      </c>
      <c r="H98" s="85">
        <f t="shared" si="41"/>
        <v>409.5</v>
      </c>
      <c r="I98" s="56">
        <f t="shared" si="42"/>
        <v>409.5</v>
      </c>
      <c r="J98" s="83" t="s">
        <v>1543</v>
      </c>
      <c r="M98" s="21">
        <f t="shared" si="26"/>
        <v>448.8</v>
      </c>
      <c r="N98" s="66" t="e">
        <f>M98-#REF!</f>
        <v>#REF!</v>
      </c>
      <c r="O98" s="21" t="e">
        <f t="shared" si="43"/>
        <v>#REF!</v>
      </c>
    </row>
    <row r="99" spans="1:15" s="21" customFormat="1" ht="24" x14ac:dyDescent="0.2">
      <c r="A99" s="128">
        <f t="shared" si="33"/>
        <v>84</v>
      </c>
      <c r="B99" s="127" t="s">
        <v>1537</v>
      </c>
      <c r="C99" s="53" t="s">
        <v>1505</v>
      </c>
      <c r="D99" s="79">
        <v>1</v>
      </c>
      <c r="E99" s="82">
        <v>25</v>
      </c>
      <c r="F99" s="56">
        <f t="shared" si="39"/>
        <v>25</v>
      </c>
      <c r="G99" s="56">
        <f t="shared" si="40"/>
        <v>4.25</v>
      </c>
      <c r="H99" s="85">
        <f t="shared" si="41"/>
        <v>29.25</v>
      </c>
      <c r="I99" s="56">
        <f t="shared" si="42"/>
        <v>29.25</v>
      </c>
      <c r="J99" s="83" t="s">
        <v>1543</v>
      </c>
      <c r="M99" s="21">
        <f t="shared" si="26"/>
        <v>448.8</v>
      </c>
      <c r="N99" s="66" t="e">
        <f>M99-#REF!</f>
        <v>#REF!</v>
      </c>
      <c r="O99" s="21" t="e">
        <f t="shared" si="43"/>
        <v>#REF!</v>
      </c>
    </row>
    <row r="100" spans="1:15" s="21" customFormat="1" ht="15.75" x14ac:dyDescent="0.2">
      <c r="A100" s="128">
        <f t="shared" si="33"/>
        <v>85</v>
      </c>
      <c r="B100" s="127" t="s">
        <v>1487</v>
      </c>
      <c r="C100" s="53" t="s">
        <v>1506</v>
      </c>
      <c r="D100" s="79">
        <v>1</v>
      </c>
      <c r="E100" s="82">
        <v>155</v>
      </c>
      <c r="F100" s="56">
        <f t="shared" si="39"/>
        <v>155</v>
      </c>
      <c r="G100" s="56">
        <f t="shared" si="40"/>
        <v>26.35</v>
      </c>
      <c r="H100" s="85">
        <f t="shared" si="41"/>
        <v>181.35</v>
      </c>
      <c r="I100" s="56">
        <f t="shared" si="42"/>
        <v>181.35</v>
      </c>
      <c r="J100" s="83" t="s">
        <v>1543</v>
      </c>
      <c r="M100" s="21">
        <f t="shared" si="26"/>
        <v>448.8</v>
      </c>
      <c r="N100" s="66" t="e">
        <f>M100-#REF!</f>
        <v>#REF!</v>
      </c>
      <c r="O100" s="21" t="e">
        <f t="shared" si="43"/>
        <v>#REF!</v>
      </c>
    </row>
    <row r="101" spans="1:15" s="21" customFormat="1" ht="24" x14ac:dyDescent="0.2">
      <c r="A101" s="128">
        <f t="shared" si="33"/>
        <v>86</v>
      </c>
      <c r="B101" s="127" t="s">
        <v>1488</v>
      </c>
      <c r="C101" s="53" t="s">
        <v>1505</v>
      </c>
      <c r="D101" s="79">
        <v>1</v>
      </c>
      <c r="E101" s="82">
        <v>300</v>
      </c>
      <c r="F101" s="56">
        <f t="shared" si="39"/>
        <v>300</v>
      </c>
      <c r="G101" s="56">
        <f>F101*0</f>
        <v>0</v>
      </c>
      <c r="H101" s="85">
        <f>E101*1</f>
        <v>300</v>
      </c>
      <c r="I101" s="56">
        <f t="shared" si="42"/>
        <v>300</v>
      </c>
      <c r="J101" s="83" t="s">
        <v>1543</v>
      </c>
      <c r="M101" s="21">
        <f t="shared" si="26"/>
        <v>448.8</v>
      </c>
      <c r="N101" s="66" t="e">
        <f>M101-#REF!</f>
        <v>#REF!</v>
      </c>
      <c r="O101" s="21" t="e">
        <f t="shared" si="43"/>
        <v>#REF!</v>
      </c>
    </row>
    <row r="102" spans="1:15" s="21" customFormat="1" ht="24" x14ac:dyDescent="0.2">
      <c r="A102" s="128">
        <f t="shared" si="33"/>
        <v>87</v>
      </c>
      <c r="B102" s="127" t="s">
        <v>1520</v>
      </c>
      <c r="C102" s="53" t="s">
        <v>1505</v>
      </c>
      <c r="D102" s="79">
        <v>1</v>
      </c>
      <c r="E102" s="82">
        <v>300</v>
      </c>
      <c r="F102" s="56">
        <f t="shared" si="39"/>
        <v>300</v>
      </c>
      <c r="G102" s="56">
        <f t="shared" ref="G102:G104" si="44">F102*0</f>
        <v>0</v>
      </c>
      <c r="H102" s="85">
        <f t="shared" ref="H102:H104" si="45">E102*1</f>
        <v>300</v>
      </c>
      <c r="I102" s="56">
        <f t="shared" si="42"/>
        <v>300</v>
      </c>
      <c r="J102" s="83" t="s">
        <v>1543</v>
      </c>
      <c r="M102" s="21">
        <f t="shared" si="26"/>
        <v>448.8</v>
      </c>
      <c r="N102" s="66" t="e">
        <f>M102-#REF!</f>
        <v>#REF!</v>
      </c>
      <c r="O102" s="21" t="e">
        <f t="shared" si="43"/>
        <v>#REF!</v>
      </c>
    </row>
    <row r="103" spans="1:15" s="21" customFormat="1" ht="24" x14ac:dyDescent="0.2">
      <c r="A103" s="128">
        <f t="shared" si="33"/>
        <v>88</v>
      </c>
      <c r="B103" s="127" t="s">
        <v>1521</v>
      </c>
      <c r="C103" s="53" t="s">
        <v>1505</v>
      </c>
      <c r="D103" s="79">
        <v>1</v>
      </c>
      <c r="E103" s="82">
        <v>300</v>
      </c>
      <c r="F103" s="56">
        <f t="shared" si="39"/>
        <v>300</v>
      </c>
      <c r="G103" s="56">
        <f t="shared" si="44"/>
        <v>0</v>
      </c>
      <c r="H103" s="85">
        <f t="shared" si="45"/>
        <v>300</v>
      </c>
      <c r="I103" s="56">
        <f t="shared" si="42"/>
        <v>300</v>
      </c>
      <c r="J103" s="83" t="s">
        <v>1543</v>
      </c>
      <c r="M103" s="21">
        <f t="shared" si="26"/>
        <v>448.8</v>
      </c>
      <c r="N103" s="66" t="e">
        <f>M103-#REF!</f>
        <v>#REF!</v>
      </c>
      <c r="O103" s="21" t="e">
        <f t="shared" si="43"/>
        <v>#REF!</v>
      </c>
    </row>
    <row r="104" spans="1:15" s="21" customFormat="1" ht="24" x14ac:dyDescent="0.2">
      <c r="A104" s="128">
        <f t="shared" si="33"/>
        <v>89</v>
      </c>
      <c r="B104" s="127" t="s">
        <v>1522</v>
      </c>
      <c r="C104" s="53" t="s">
        <v>1505</v>
      </c>
      <c r="D104" s="79">
        <v>1</v>
      </c>
      <c r="E104" s="82">
        <v>300</v>
      </c>
      <c r="F104" s="56">
        <f t="shared" si="39"/>
        <v>300</v>
      </c>
      <c r="G104" s="56">
        <f t="shared" si="44"/>
        <v>0</v>
      </c>
      <c r="H104" s="85">
        <f t="shared" si="45"/>
        <v>300</v>
      </c>
      <c r="I104" s="56">
        <f t="shared" si="42"/>
        <v>300</v>
      </c>
      <c r="J104" s="83" t="s">
        <v>1543</v>
      </c>
      <c r="M104" s="21">
        <f t="shared" si="26"/>
        <v>448.8</v>
      </c>
      <c r="N104" s="66" t="e">
        <f>M104-#REF!</f>
        <v>#REF!</v>
      </c>
      <c r="O104" s="21" t="e">
        <f t="shared" si="43"/>
        <v>#REF!</v>
      </c>
    </row>
    <row r="105" spans="1:15" s="21" customFormat="1" ht="24" x14ac:dyDescent="0.2">
      <c r="A105" s="128">
        <f t="shared" si="33"/>
        <v>90</v>
      </c>
      <c r="B105" s="127" t="s">
        <v>1513</v>
      </c>
      <c r="C105" s="53" t="s">
        <v>1505</v>
      </c>
      <c r="D105" s="79">
        <v>2</v>
      </c>
      <c r="E105" s="82">
        <v>75</v>
      </c>
      <c r="F105" s="56">
        <f t="shared" si="39"/>
        <v>150</v>
      </c>
      <c r="G105" s="56">
        <f>F105*0</f>
        <v>0</v>
      </c>
      <c r="H105" s="85">
        <f>E105*1</f>
        <v>75</v>
      </c>
      <c r="I105" s="56">
        <f t="shared" si="42"/>
        <v>150</v>
      </c>
      <c r="J105" s="83" t="s">
        <v>1543</v>
      </c>
      <c r="M105" s="21">
        <f t="shared" si="26"/>
        <v>448.8</v>
      </c>
      <c r="N105" s="66" t="e">
        <f>M105-#REF!</f>
        <v>#REF!</v>
      </c>
      <c r="O105" s="21" t="e">
        <f t="shared" si="43"/>
        <v>#REF!</v>
      </c>
    </row>
    <row r="106" spans="1:15" s="21" customFormat="1" ht="15.75" x14ac:dyDescent="0.2">
      <c r="A106" s="128">
        <f t="shared" si="33"/>
        <v>91</v>
      </c>
      <c r="B106" s="127" t="s">
        <v>1524</v>
      </c>
      <c r="C106" s="53" t="s">
        <v>1506</v>
      </c>
      <c r="D106" s="79">
        <v>1</v>
      </c>
      <c r="E106" s="82">
        <v>20</v>
      </c>
      <c r="F106" s="56">
        <f t="shared" si="39"/>
        <v>20</v>
      </c>
      <c r="G106" s="56">
        <f t="shared" si="40"/>
        <v>3.4000000000000004</v>
      </c>
      <c r="H106" s="85">
        <f t="shared" si="41"/>
        <v>23.4</v>
      </c>
      <c r="I106" s="56">
        <f t="shared" si="42"/>
        <v>23.4</v>
      </c>
      <c r="J106" s="83" t="s">
        <v>1543</v>
      </c>
      <c r="M106" s="21">
        <f t="shared" si="26"/>
        <v>448.8</v>
      </c>
      <c r="N106" s="66" t="e">
        <f>M106-#REF!</f>
        <v>#REF!</v>
      </c>
      <c r="O106" s="21" t="e">
        <f t="shared" si="43"/>
        <v>#REF!</v>
      </c>
    </row>
    <row r="107" spans="1:15" s="21" customFormat="1" ht="15.75" x14ac:dyDescent="0.2">
      <c r="A107" s="128">
        <f t="shared" si="33"/>
        <v>92</v>
      </c>
      <c r="B107" s="127" t="s">
        <v>1526</v>
      </c>
      <c r="C107" s="53" t="s">
        <v>23</v>
      </c>
      <c r="D107" s="79">
        <v>1</v>
      </c>
      <c r="E107" s="82">
        <v>50</v>
      </c>
      <c r="F107" s="56">
        <f t="shared" si="39"/>
        <v>50</v>
      </c>
      <c r="G107" s="56">
        <f t="shared" si="40"/>
        <v>8.5</v>
      </c>
      <c r="H107" s="85">
        <f t="shared" si="41"/>
        <v>58.5</v>
      </c>
      <c r="I107" s="56">
        <f t="shared" si="42"/>
        <v>58.5</v>
      </c>
      <c r="J107" s="83" t="s">
        <v>1543</v>
      </c>
      <c r="M107" s="21">
        <f t="shared" si="26"/>
        <v>448.8</v>
      </c>
      <c r="N107" s="66" t="e">
        <f>M107-#REF!</f>
        <v>#REF!</v>
      </c>
      <c r="O107" s="21" t="e">
        <f t="shared" si="43"/>
        <v>#REF!</v>
      </c>
    </row>
    <row r="108" spans="1:15" s="21" customFormat="1" ht="24" x14ac:dyDescent="0.2">
      <c r="A108" s="128">
        <f t="shared" si="33"/>
        <v>93</v>
      </c>
      <c r="B108" s="127" t="s">
        <v>1490</v>
      </c>
      <c r="C108" s="53" t="s">
        <v>1505</v>
      </c>
      <c r="D108" s="79">
        <v>1</v>
      </c>
      <c r="E108" s="82">
        <v>40</v>
      </c>
      <c r="F108" s="56">
        <f t="shared" si="39"/>
        <v>40</v>
      </c>
      <c r="G108" s="56">
        <f t="shared" si="40"/>
        <v>6.8000000000000007</v>
      </c>
      <c r="H108" s="85">
        <f t="shared" si="41"/>
        <v>46.8</v>
      </c>
      <c r="I108" s="56">
        <f t="shared" si="42"/>
        <v>46.8</v>
      </c>
      <c r="J108" s="83" t="s">
        <v>1543</v>
      </c>
      <c r="M108" s="21">
        <f t="shared" si="26"/>
        <v>448.8</v>
      </c>
      <c r="N108" s="66" t="e">
        <f>M108-#REF!</f>
        <v>#REF!</v>
      </c>
      <c r="O108" s="21" t="e">
        <f t="shared" si="43"/>
        <v>#REF!</v>
      </c>
    </row>
    <row r="109" spans="1:15" s="21" customFormat="1" ht="15.75" x14ac:dyDescent="0.2">
      <c r="A109" s="128">
        <f t="shared" si="33"/>
        <v>94</v>
      </c>
      <c r="B109" s="127" t="s">
        <v>1538</v>
      </c>
      <c r="C109" s="53" t="s">
        <v>23</v>
      </c>
      <c r="D109" s="79">
        <v>1</v>
      </c>
      <c r="E109" s="82">
        <v>340</v>
      </c>
      <c r="F109" s="56">
        <f t="shared" si="34"/>
        <v>340</v>
      </c>
      <c r="G109" s="56">
        <f t="shared" si="35"/>
        <v>57.800000000000004</v>
      </c>
      <c r="H109" s="85">
        <f t="shared" si="36"/>
        <v>397.79999999999995</v>
      </c>
      <c r="I109" s="56">
        <f t="shared" si="37"/>
        <v>397.79999999999995</v>
      </c>
      <c r="J109" s="83" t="s">
        <v>1543</v>
      </c>
      <c r="M109" s="21">
        <f t="shared" si="26"/>
        <v>448.8</v>
      </c>
      <c r="N109" s="66" t="e">
        <f>M109-#REF!</f>
        <v>#REF!</v>
      </c>
      <c r="O109" s="21" t="e">
        <f t="shared" si="38"/>
        <v>#REF!</v>
      </c>
    </row>
    <row r="110" spans="1:15" s="21" customFormat="1" ht="15.75" x14ac:dyDescent="0.2">
      <c r="A110" s="128">
        <f t="shared" si="33"/>
        <v>95</v>
      </c>
      <c r="B110" s="127" t="s">
        <v>1495</v>
      </c>
      <c r="C110" s="53" t="s">
        <v>1506</v>
      </c>
      <c r="D110" s="79">
        <v>1</v>
      </c>
      <c r="E110" s="82">
        <v>110</v>
      </c>
      <c r="F110" s="56">
        <f t="shared" si="34"/>
        <v>110</v>
      </c>
      <c r="G110" s="56">
        <f t="shared" si="35"/>
        <v>18.700000000000003</v>
      </c>
      <c r="H110" s="85">
        <f t="shared" si="36"/>
        <v>128.69999999999999</v>
      </c>
      <c r="I110" s="56">
        <f t="shared" si="37"/>
        <v>128.69999999999999</v>
      </c>
      <c r="J110" s="83" t="s">
        <v>1543</v>
      </c>
      <c r="M110" s="21">
        <f t="shared" si="26"/>
        <v>448.8</v>
      </c>
      <c r="N110" s="66" t="e">
        <f>M110-#REF!</f>
        <v>#REF!</v>
      </c>
      <c r="O110" s="21" t="e">
        <f t="shared" si="38"/>
        <v>#REF!</v>
      </c>
    </row>
    <row r="111" spans="1:15" s="21" customFormat="1" ht="15.75" x14ac:dyDescent="0.2">
      <c r="A111" s="128">
        <f t="shared" si="33"/>
        <v>96</v>
      </c>
      <c r="B111" s="127" t="s">
        <v>1502</v>
      </c>
      <c r="C111" s="53" t="s">
        <v>1506</v>
      </c>
      <c r="D111" s="79">
        <v>3</v>
      </c>
      <c r="E111" s="82">
        <v>7</v>
      </c>
      <c r="F111" s="56">
        <f t="shared" si="34"/>
        <v>21</v>
      </c>
      <c r="G111" s="56">
        <f>F111*0</f>
        <v>0</v>
      </c>
      <c r="H111" s="85">
        <f>E111*1</f>
        <v>7</v>
      </c>
      <c r="I111" s="56">
        <f t="shared" si="37"/>
        <v>21</v>
      </c>
      <c r="J111" s="83" t="s">
        <v>1543</v>
      </c>
      <c r="M111" s="21">
        <f t="shared" si="26"/>
        <v>448.8</v>
      </c>
      <c r="N111" s="66" t="e">
        <f>M111-#REF!</f>
        <v>#REF!</v>
      </c>
      <c r="O111" s="21" t="e">
        <f t="shared" si="38"/>
        <v>#REF!</v>
      </c>
    </row>
    <row r="112" spans="1:15" s="21" customFormat="1" ht="24" x14ac:dyDescent="0.2">
      <c r="A112" s="128">
        <f t="shared" si="33"/>
        <v>97</v>
      </c>
      <c r="B112" s="127" t="s">
        <v>1539</v>
      </c>
      <c r="C112" s="53" t="s">
        <v>1506</v>
      </c>
      <c r="D112" s="79">
        <v>1</v>
      </c>
      <c r="E112" s="82">
        <v>125</v>
      </c>
      <c r="F112" s="56">
        <f t="shared" si="34"/>
        <v>125</v>
      </c>
      <c r="G112" s="56">
        <f t="shared" si="35"/>
        <v>21.25</v>
      </c>
      <c r="H112" s="85">
        <f t="shared" si="36"/>
        <v>146.25</v>
      </c>
      <c r="I112" s="56">
        <f t="shared" si="37"/>
        <v>146.25</v>
      </c>
      <c r="J112" s="83" t="s">
        <v>1543</v>
      </c>
      <c r="M112" s="21">
        <f t="shared" si="26"/>
        <v>448.8</v>
      </c>
      <c r="N112" s="66" t="e">
        <f>M112-#REF!</f>
        <v>#REF!</v>
      </c>
      <c r="O112" s="21" t="e">
        <f t="shared" si="38"/>
        <v>#REF!</v>
      </c>
    </row>
    <row r="113" spans="1:15" s="21" customFormat="1" ht="15.75" x14ac:dyDescent="0.2">
      <c r="A113" s="128">
        <f t="shared" si="33"/>
        <v>98</v>
      </c>
      <c r="B113" s="127" t="s">
        <v>1516</v>
      </c>
      <c r="C113" s="53" t="s">
        <v>1506</v>
      </c>
      <c r="D113" s="79">
        <v>1</v>
      </c>
      <c r="E113" s="82">
        <v>18</v>
      </c>
      <c r="F113" s="56">
        <f t="shared" si="34"/>
        <v>18</v>
      </c>
      <c r="G113" s="56">
        <f t="shared" si="35"/>
        <v>3.06</v>
      </c>
      <c r="H113" s="85">
        <f t="shared" si="36"/>
        <v>21.06</v>
      </c>
      <c r="I113" s="56">
        <f t="shared" si="37"/>
        <v>21.06</v>
      </c>
      <c r="J113" s="83" t="s">
        <v>1551</v>
      </c>
      <c r="M113" s="21">
        <f t="shared" si="26"/>
        <v>448.8</v>
      </c>
      <c r="N113" s="66" t="e">
        <f>M113-#REF!</f>
        <v>#REF!</v>
      </c>
      <c r="O113" s="21" t="e">
        <f t="shared" si="38"/>
        <v>#REF!</v>
      </c>
    </row>
    <row r="114" spans="1:15" s="21" customFormat="1" ht="24" x14ac:dyDescent="0.2">
      <c r="A114" s="128">
        <f t="shared" si="33"/>
        <v>99</v>
      </c>
      <c r="B114" s="127" t="s">
        <v>1513</v>
      </c>
      <c r="C114" s="53" t="s">
        <v>1505</v>
      </c>
      <c r="D114" s="79">
        <v>1</v>
      </c>
      <c r="E114" s="82">
        <v>75</v>
      </c>
      <c r="F114" s="56">
        <f t="shared" si="34"/>
        <v>75</v>
      </c>
      <c r="G114" s="56">
        <f>F114*0</f>
        <v>0</v>
      </c>
      <c r="H114" s="85">
        <f>E114*1</f>
        <v>75</v>
      </c>
      <c r="I114" s="56">
        <f t="shared" si="37"/>
        <v>75</v>
      </c>
      <c r="J114" s="83" t="s">
        <v>1551</v>
      </c>
      <c r="M114" s="21">
        <f t="shared" si="26"/>
        <v>448.8</v>
      </c>
      <c r="N114" s="66" t="e">
        <f>M114-#REF!</f>
        <v>#REF!</v>
      </c>
      <c r="O114" s="21" t="e">
        <f t="shared" si="38"/>
        <v>#REF!</v>
      </c>
    </row>
    <row r="115" spans="1:15" s="21" customFormat="1" ht="15.75" x14ac:dyDescent="0.2">
      <c r="A115" s="128">
        <f t="shared" si="33"/>
        <v>100</v>
      </c>
      <c r="B115" s="127" t="s">
        <v>1525</v>
      </c>
      <c r="C115" s="53" t="s">
        <v>1506</v>
      </c>
      <c r="D115" s="79">
        <v>1</v>
      </c>
      <c r="E115" s="82">
        <v>40</v>
      </c>
      <c r="F115" s="56">
        <f t="shared" si="34"/>
        <v>40</v>
      </c>
      <c r="G115" s="56">
        <f t="shared" si="35"/>
        <v>6.8000000000000007</v>
      </c>
      <c r="H115" s="85">
        <f t="shared" si="36"/>
        <v>46.8</v>
      </c>
      <c r="I115" s="56">
        <f t="shared" si="37"/>
        <v>46.8</v>
      </c>
      <c r="J115" s="83" t="s">
        <v>1551</v>
      </c>
      <c r="M115" s="21">
        <f t="shared" si="26"/>
        <v>448.8</v>
      </c>
      <c r="N115" s="66" t="e">
        <f>M115-#REF!</f>
        <v>#REF!</v>
      </c>
      <c r="O115" s="21" t="e">
        <f t="shared" si="38"/>
        <v>#REF!</v>
      </c>
    </row>
    <row r="116" spans="1:15" s="21" customFormat="1" ht="15.75" x14ac:dyDescent="0.2">
      <c r="A116" s="128">
        <f t="shared" si="33"/>
        <v>101</v>
      </c>
      <c r="B116" s="127" t="s">
        <v>1527</v>
      </c>
      <c r="C116" s="53" t="s">
        <v>23</v>
      </c>
      <c r="D116" s="79">
        <v>1</v>
      </c>
      <c r="E116" s="82">
        <v>28</v>
      </c>
      <c r="F116" s="56">
        <f t="shared" si="34"/>
        <v>28</v>
      </c>
      <c r="G116" s="56">
        <f t="shared" si="35"/>
        <v>4.7600000000000007</v>
      </c>
      <c r="H116" s="85">
        <f t="shared" si="36"/>
        <v>32.76</v>
      </c>
      <c r="I116" s="56">
        <f t="shared" si="37"/>
        <v>32.76</v>
      </c>
      <c r="J116" s="83" t="s">
        <v>1551</v>
      </c>
      <c r="M116" s="21">
        <f t="shared" si="26"/>
        <v>448.8</v>
      </c>
      <c r="N116" s="66" t="e">
        <f>M116-#REF!</f>
        <v>#REF!</v>
      </c>
      <c r="O116" s="21" t="e">
        <f t="shared" si="38"/>
        <v>#REF!</v>
      </c>
    </row>
    <row r="117" spans="1:15" s="21" customFormat="1" ht="24" x14ac:dyDescent="0.2">
      <c r="A117" s="128">
        <f t="shared" si="33"/>
        <v>102</v>
      </c>
      <c r="B117" s="127" t="s">
        <v>1492</v>
      </c>
      <c r="C117" s="53" t="s">
        <v>1506</v>
      </c>
      <c r="D117" s="79">
        <v>3</v>
      </c>
      <c r="E117" s="82">
        <v>140</v>
      </c>
      <c r="F117" s="56">
        <f t="shared" si="34"/>
        <v>420</v>
      </c>
      <c r="G117" s="56">
        <f t="shared" si="35"/>
        <v>71.400000000000006</v>
      </c>
      <c r="H117" s="85">
        <f t="shared" si="36"/>
        <v>163.79999999999998</v>
      </c>
      <c r="I117" s="56">
        <f t="shared" si="37"/>
        <v>491.4</v>
      </c>
      <c r="J117" s="83" t="s">
        <v>1551</v>
      </c>
      <c r="M117" s="21">
        <f t="shared" si="26"/>
        <v>448.8</v>
      </c>
      <c r="N117" s="66" t="e">
        <f>M117-#REF!</f>
        <v>#REF!</v>
      </c>
      <c r="O117" s="21" t="e">
        <f t="shared" si="38"/>
        <v>#REF!</v>
      </c>
    </row>
    <row r="118" spans="1:15" s="21" customFormat="1" ht="15.75" x14ac:dyDescent="0.2">
      <c r="A118" s="128">
        <f t="shared" si="33"/>
        <v>103</v>
      </c>
      <c r="B118" s="127" t="s">
        <v>1494</v>
      </c>
      <c r="C118" s="53" t="s">
        <v>1506</v>
      </c>
      <c r="D118" s="79">
        <v>1</v>
      </c>
      <c r="E118" s="82">
        <v>25</v>
      </c>
      <c r="F118" s="56">
        <f t="shared" si="34"/>
        <v>25</v>
      </c>
      <c r="G118" s="56">
        <f>F118*0</f>
        <v>0</v>
      </c>
      <c r="H118" s="85">
        <f>E118*1</f>
        <v>25</v>
      </c>
      <c r="I118" s="56">
        <f t="shared" si="37"/>
        <v>25</v>
      </c>
      <c r="J118" s="83" t="s">
        <v>1551</v>
      </c>
      <c r="M118" s="21">
        <f t="shared" si="26"/>
        <v>448.8</v>
      </c>
      <c r="N118" s="66" t="e">
        <f>M118-#REF!</f>
        <v>#REF!</v>
      </c>
      <c r="O118" s="21" t="e">
        <f t="shared" si="38"/>
        <v>#REF!</v>
      </c>
    </row>
    <row r="119" spans="1:15" s="21" customFormat="1" ht="15.75" x14ac:dyDescent="0.2">
      <c r="A119" s="128">
        <f t="shared" si="33"/>
        <v>104</v>
      </c>
      <c r="B119" s="127" t="s">
        <v>1502</v>
      </c>
      <c r="C119" s="53" t="s">
        <v>1506</v>
      </c>
      <c r="D119" s="79">
        <v>1</v>
      </c>
      <c r="E119" s="82">
        <v>7</v>
      </c>
      <c r="F119" s="56">
        <f t="shared" si="34"/>
        <v>7</v>
      </c>
      <c r="G119" s="56">
        <f>F119*0</f>
        <v>0</v>
      </c>
      <c r="H119" s="85">
        <f>E119*1</f>
        <v>7</v>
      </c>
      <c r="I119" s="56">
        <f t="shared" si="37"/>
        <v>7</v>
      </c>
      <c r="J119" s="83" t="s">
        <v>1551</v>
      </c>
      <c r="M119" s="21">
        <f t="shared" si="26"/>
        <v>448.8</v>
      </c>
      <c r="N119" s="66" t="e">
        <f>M119-#REF!</f>
        <v>#REF!</v>
      </c>
      <c r="O119" s="21" t="e">
        <f t="shared" si="38"/>
        <v>#REF!</v>
      </c>
    </row>
    <row r="120" spans="1:15" s="21" customFormat="1" ht="15.75" x14ac:dyDescent="0.2">
      <c r="A120" s="128">
        <f t="shared" si="33"/>
        <v>105</v>
      </c>
      <c r="B120" s="127" t="s">
        <v>1536</v>
      </c>
      <c r="C120" s="53" t="s">
        <v>1506</v>
      </c>
      <c r="D120" s="79">
        <v>1</v>
      </c>
      <c r="E120" s="82">
        <v>25</v>
      </c>
      <c r="F120" s="56">
        <f t="shared" si="34"/>
        <v>25</v>
      </c>
      <c r="G120" s="56">
        <f t="shared" si="35"/>
        <v>4.25</v>
      </c>
      <c r="H120" s="85">
        <f t="shared" si="36"/>
        <v>29.25</v>
      </c>
      <c r="I120" s="56">
        <f t="shared" si="37"/>
        <v>29.25</v>
      </c>
      <c r="J120" s="83" t="s">
        <v>1551</v>
      </c>
      <c r="M120" s="21">
        <f t="shared" si="26"/>
        <v>448.8</v>
      </c>
      <c r="N120" s="66" t="e">
        <f>M120-#REF!</f>
        <v>#REF!</v>
      </c>
      <c r="O120" s="21" t="e">
        <f t="shared" si="38"/>
        <v>#REF!</v>
      </c>
    </row>
    <row r="121" spans="1:15" s="21" customFormat="1" ht="15.75" x14ac:dyDescent="0.2">
      <c r="A121" s="128">
        <f t="shared" si="33"/>
        <v>106</v>
      </c>
      <c r="B121" s="127" t="s">
        <v>1544</v>
      </c>
      <c r="C121" s="53" t="s">
        <v>1506</v>
      </c>
      <c r="D121" s="79">
        <v>1</v>
      </c>
      <c r="E121" s="82">
        <v>100</v>
      </c>
      <c r="F121" s="56">
        <f t="shared" si="34"/>
        <v>100</v>
      </c>
      <c r="G121" s="56">
        <f t="shared" si="35"/>
        <v>17</v>
      </c>
      <c r="H121" s="85">
        <f t="shared" si="36"/>
        <v>117</v>
      </c>
      <c r="I121" s="56">
        <f t="shared" si="37"/>
        <v>117</v>
      </c>
      <c r="J121" s="83" t="s">
        <v>1551</v>
      </c>
      <c r="M121" s="21">
        <f t="shared" si="26"/>
        <v>448.8</v>
      </c>
      <c r="N121" s="66" t="e">
        <f>M121-#REF!</f>
        <v>#REF!</v>
      </c>
      <c r="O121" s="21" t="e">
        <f t="shared" si="38"/>
        <v>#REF!</v>
      </c>
    </row>
    <row r="122" spans="1:15" s="21" customFormat="1" ht="15.75" x14ac:dyDescent="0.2">
      <c r="A122" s="128">
        <f t="shared" si="33"/>
        <v>107</v>
      </c>
      <c r="B122" s="127" t="s">
        <v>1503</v>
      </c>
      <c r="C122" s="53" t="s">
        <v>1506</v>
      </c>
      <c r="D122" s="79">
        <v>1</v>
      </c>
      <c r="E122" s="82">
        <v>26</v>
      </c>
      <c r="F122" s="56">
        <f t="shared" ref="F122:F134" si="46">D122*E122</f>
        <v>26</v>
      </c>
      <c r="G122" s="56">
        <f t="shared" ref="G122:G134" si="47">F122*0.17</f>
        <v>4.42</v>
      </c>
      <c r="H122" s="85">
        <f t="shared" ref="H122:H134" si="48">E122*1.17</f>
        <v>30.419999999999998</v>
      </c>
      <c r="I122" s="56">
        <f t="shared" ref="I122:I134" si="49">H122*D122</f>
        <v>30.419999999999998</v>
      </c>
      <c r="J122" s="83" t="s">
        <v>1551</v>
      </c>
      <c r="M122" s="21">
        <f t="shared" si="26"/>
        <v>448.8</v>
      </c>
      <c r="N122" s="66" t="e">
        <f>M122-#REF!</f>
        <v>#REF!</v>
      </c>
      <c r="O122" s="21" t="e">
        <f t="shared" ref="O122:O134" si="50">N122*D122</f>
        <v>#REF!</v>
      </c>
    </row>
    <row r="123" spans="1:15" s="21" customFormat="1" ht="15.75" x14ac:dyDescent="0.2">
      <c r="A123" s="128">
        <f t="shared" si="33"/>
        <v>108</v>
      </c>
      <c r="B123" s="127" t="s">
        <v>1534</v>
      </c>
      <c r="C123" s="53" t="s">
        <v>1505</v>
      </c>
      <c r="D123" s="79">
        <v>1</v>
      </c>
      <c r="E123" s="82">
        <v>75</v>
      </c>
      <c r="F123" s="56">
        <f t="shared" si="46"/>
        <v>75</v>
      </c>
      <c r="G123" s="56">
        <f>F123*0</f>
        <v>0</v>
      </c>
      <c r="H123" s="85">
        <f>E123*1</f>
        <v>75</v>
      </c>
      <c r="I123" s="56">
        <f t="shared" si="49"/>
        <v>75</v>
      </c>
      <c r="J123" s="83" t="s">
        <v>1551</v>
      </c>
      <c r="M123" s="21">
        <f t="shared" si="26"/>
        <v>448.8</v>
      </c>
      <c r="N123" s="66" t="e">
        <f>M123-#REF!</f>
        <v>#REF!</v>
      </c>
      <c r="O123" s="21" t="e">
        <f t="shared" si="50"/>
        <v>#REF!</v>
      </c>
    </row>
    <row r="124" spans="1:15" s="21" customFormat="1" ht="15.75" x14ac:dyDescent="0.2">
      <c r="A124" s="128">
        <f t="shared" si="33"/>
        <v>109</v>
      </c>
      <c r="B124" s="127" t="s">
        <v>1545</v>
      </c>
      <c r="C124" s="53" t="s">
        <v>23</v>
      </c>
      <c r="D124" s="79">
        <v>1</v>
      </c>
      <c r="E124" s="82">
        <v>250</v>
      </c>
      <c r="F124" s="56">
        <f t="shared" si="46"/>
        <v>250</v>
      </c>
      <c r="G124" s="56">
        <f t="shared" si="47"/>
        <v>42.5</v>
      </c>
      <c r="H124" s="85">
        <f t="shared" si="48"/>
        <v>292.5</v>
      </c>
      <c r="I124" s="56">
        <f t="shared" si="49"/>
        <v>292.5</v>
      </c>
      <c r="J124" s="83" t="s">
        <v>1552</v>
      </c>
      <c r="M124" s="21">
        <f t="shared" si="26"/>
        <v>448.8</v>
      </c>
      <c r="N124" s="66" t="e">
        <f>M124-#REF!</f>
        <v>#REF!</v>
      </c>
      <c r="O124" s="21" t="e">
        <f t="shared" si="50"/>
        <v>#REF!</v>
      </c>
    </row>
    <row r="125" spans="1:15" s="21" customFormat="1" ht="15.75" x14ac:dyDescent="0.2">
      <c r="A125" s="128">
        <f t="shared" si="33"/>
        <v>110</v>
      </c>
      <c r="B125" s="127" t="s">
        <v>1546</v>
      </c>
      <c r="C125" s="53" t="s">
        <v>76</v>
      </c>
      <c r="D125" s="79">
        <v>2</v>
      </c>
      <c r="E125" s="82">
        <v>28</v>
      </c>
      <c r="F125" s="56">
        <f t="shared" si="46"/>
        <v>56</v>
      </c>
      <c r="G125" s="56">
        <f>F125*0</f>
        <v>0</v>
      </c>
      <c r="H125" s="85">
        <f>E125*1</f>
        <v>28</v>
      </c>
      <c r="I125" s="56">
        <f t="shared" si="49"/>
        <v>56</v>
      </c>
      <c r="J125" s="83" t="s">
        <v>1552</v>
      </c>
      <c r="M125" s="21">
        <f t="shared" si="26"/>
        <v>448.8</v>
      </c>
      <c r="N125" s="66" t="e">
        <f>M125-#REF!</f>
        <v>#REF!</v>
      </c>
      <c r="O125" s="21" t="e">
        <f t="shared" si="50"/>
        <v>#REF!</v>
      </c>
    </row>
    <row r="126" spans="1:15" s="21" customFormat="1" ht="15.75" x14ac:dyDescent="0.2">
      <c r="A126" s="128">
        <f t="shared" si="33"/>
        <v>111</v>
      </c>
      <c r="B126" s="127" t="s">
        <v>1547</v>
      </c>
      <c r="C126" s="53" t="s">
        <v>1506</v>
      </c>
      <c r="D126" s="79">
        <v>1</v>
      </c>
      <c r="E126" s="82">
        <v>155</v>
      </c>
      <c r="F126" s="56">
        <f t="shared" si="46"/>
        <v>155</v>
      </c>
      <c r="G126" s="56">
        <f t="shared" si="47"/>
        <v>26.35</v>
      </c>
      <c r="H126" s="85">
        <f t="shared" si="48"/>
        <v>181.35</v>
      </c>
      <c r="I126" s="56">
        <f t="shared" si="49"/>
        <v>181.35</v>
      </c>
      <c r="J126" s="83" t="s">
        <v>1553</v>
      </c>
      <c r="M126" s="21">
        <f t="shared" si="26"/>
        <v>448.8</v>
      </c>
      <c r="N126" s="66" t="e">
        <f>M126-#REF!</f>
        <v>#REF!</v>
      </c>
      <c r="O126" s="21" t="e">
        <f t="shared" si="50"/>
        <v>#REF!</v>
      </c>
    </row>
    <row r="127" spans="1:15" s="21" customFormat="1" ht="24" x14ac:dyDescent="0.2">
      <c r="A127" s="128">
        <f t="shared" si="33"/>
        <v>112</v>
      </c>
      <c r="B127" s="127" t="s">
        <v>1488</v>
      </c>
      <c r="C127" s="53" t="s">
        <v>1505</v>
      </c>
      <c r="D127" s="79">
        <v>1</v>
      </c>
      <c r="E127" s="82">
        <v>300</v>
      </c>
      <c r="F127" s="56">
        <f t="shared" si="46"/>
        <v>300</v>
      </c>
      <c r="G127" s="56">
        <f>F127*0</f>
        <v>0</v>
      </c>
      <c r="H127" s="85">
        <f>E127*1</f>
        <v>300</v>
      </c>
      <c r="I127" s="56">
        <f t="shared" si="49"/>
        <v>300</v>
      </c>
      <c r="J127" s="83" t="s">
        <v>1553</v>
      </c>
      <c r="M127" s="21">
        <f t="shared" si="26"/>
        <v>448.8</v>
      </c>
      <c r="N127" s="66" t="e">
        <f>M127-#REF!</f>
        <v>#REF!</v>
      </c>
      <c r="O127" s="21" t="e">
        <f t="shared" si="50"/>
        <v>#REF!</v>
      </c>
    </row>
    <row r="128" spans="1:15" s="21" customFormat="1" ht="15.75" x14ac:dyDescent="0.2">
      <c r="A128" s="128">
        <f t="shared" si="33"/>
        <v>113</v>
      </c>
      <c r="B128" s="127" t="s">
        <v>1538</v>
      </c>
      <c r="C128" s="53" t="s">
        <v>23</v>
      </c>
      <c r="D128" s="79">
        <v>1</v>
      </c>
      <c r="E128" s="82">
        <v>340</v>
      </c>
      <c r="F128" s="56">
        <f t="shared" si="46"/>
        <v>340</v>
      </c>
      <c r="G128" s="56">
        <f t="shared" si="47"/>
        <v>57.800000000000004</v>
      </c>
      <c r="H128" s="85">
        <f t="shared" si="48"/>
        <v>397.79999999999995</v>
      </c>
      <c r="I128" s="56">
        <f t="shared" si="49"/>
        <v>397.79999999999995</v>
      </c>
      <c r="J128" s="83" t="s">
        <v>1553</v>
      </c>
      <c r="M128" s="21">
        <f t="shared" si="26"/>
        <v>448.8</v>
      </c>
      <c r="N128" s="66" t="e">
        <f>M128-#REF!</f>
        <v>#REF!</v>
      </c>
      <c r="O128" s="21" t="e">
        <f t="shared" si="50"/>
        <v>#REF!</v>
      </c>
    </row>
    <row r="129" spans="1:18" s="21" customFormat="1" ht="24" x14ac:dyDescent="0.2">
      <c r="A129" s="128">
        <f t="shared" si="33"/>
        <v>114</v>
      </c>
      <c r="B129" s="127" t="s">
        <v>1492</v>
      </c>
      <c r="C129" s="53" t="s">
        <v>1506</v>
      </c>
      <c r="D129" s="79">
        <v>1</v>
      </c>
      <c r="E129" s="82">
        <v>140</v>
      </c>
      <c r="F129" s="56">
        <f t="shared" si="46"/>
        <v>140</v>
      </c>
      <c r="G129" s="56">
        <f t="shared" si="47"/>
        <v>23.8</v>
      </c>
      <c r="H129" s="85">
        <f t="shared" si="48"/>
        <v>163.79999999999998</v>
      </c>
      <c r="I129" s="56">
        <f t="shared" si="49"/>
        <v>163.79999999999998</v>
      </c>
      <c r="J129" s="83" t="s">
        <v>1553</v>
      </c>
      <c r="M129" s="21">
        <f t="shared" si="26"/>
        <v>448.8</v>
      </c>
      <c r="N129" s="66" t="e">
        <f>M129-#REF!</f>
        <v>#REF!</v>
      </c>
      <c r="O129" s="21" t="e">
        <f t="shared" si="50"/>
        <v>#REF!</v>
      </c>
    </row>
    <row r="130" spans="1:18" s="21" customFormat="1" ht="15.75" x14ac:dyDescent="0.2">
      <c r="A130" s="128">
        <f t="shared" si="33"/>
        <v>115</v>
      </c>
      <c r="B130" s="127" t="s">
        <v>1495</v>
      </c>
      <c r="C130" s="53" t="s">
        <v>1506</v>
      </c>
      <c r="D130" s="79">
        <v>1</v>
      </c>
      <c r="E130" s="82">
        <v>110</v>
      </c>
      <c r="F130" s="56">
        <f t="shared" si="46"/>
        <v>110</v>
      </c>
      <c r="G130" s="56">
        <f t="shared" si="47"/>
        <v>18.700000000000003</v>
      </c>
      <c r="H130" s="85">
        <f t="shared" si="48"/>
        <v>128.69999999999999</v>
      </c>
      <c r="I130" s="56">
        <f t="shared" si="49"/>
        <v>128.69999999999999</v>
      </c>
      <c r="J130" s="83" t="s">
        <v>1553</v>
      </c>
      <c r="M130" s="21">
        <f t="shared" si="26"/>
        <v>448.8</v>
      </c>
      <c r="N130" s="66" t="e">
        <f>M130-#REF!</f>
        <v>#REF!</v>
      </c>
      <c r="O130" s="21" t="e">
        <f t="shared" si="50"/>
        <v>#REF!</v>
      </c>
    </row>
    <row r="131" spans="1:18" s="21" customFormat="1" ht="15.75" x14ac:dyDescent="0.2">
      <c r="A131" s="128">
        <f t="shared" si="33"/>
        <v>116</v>
      </c>
      <c r="B131" s="127" t="s">
        <v>1544</v>
      </c>
      <c r="C131" s="53" t="s">
        <v>1506</v>
      </c>
      <c r="D131" s="79">
        <v>1</v>
      </c>
      <c r="E131" s="82">
        <v>100</v>
      </c>
      <c r="F131" s="56">
        <f t="shared" si="46"/>
        <v>100</v>
      </c>
      <c r="G131" s="56">
        <f t="shared" si="47"/>
        <v>17</v>
      </c>
      <c r="H131" s="85">
        <f t="shared" si="48"/>
        <v>117</v>
      </c>
      <c r="I131" s="56">
        <f t="shared" si="49"/>
        <v>117</v>
      </c>
      <c r="J131" s="83" t="s">
        <v>1553</v>
      </c>
      <c r="M131" s="21">
        <f t="shared" si="26"/>
        <v>448.8</v>
      </c>
      <c r="N131" s="66" t="e">
        <f>M131-#REF!</f>
        <v>#REF!</v>
      </c>
      <c r="O131" s="21" t="e">
        <f t="shared" si="50"/>
        <v>#REF!</v>
      </c>
    </row>
    <row r="132" spans="1:18" s="21" customFormat="1" ht="15.75" x14ac:dyDescent="0.2">
      <c r="A132" s="128">
        <f t="shared" si="33"/>
        <v>117</v>
      </c>
      <c r="B132" s="127" t="s">
        <v>1504</v>
      </c>
      <c r="C132" s="53" t="s">
        <v>1506</v>
      </c>
      <c r="D132" s="79">
        <v>10</v>
      </c>
      <c r="E132" s="82">
        <v>20</v>
      </c>
      <c r="F132" s="56">
        <f t="shared" si="46"/>
        <v>200</v>
      </c>
      <c r="G132" s="56">
        <f t="shared" si="47"/>
        <v>34</v>
      </c>
      <c r="H132" s="85">
        <f t="shared" si="48"/>
        <v>23.4</v>
      </c>
      <c r="I132" s="56">
        <f t="shared" si="49"/>
        <v>234</v>
      </c>
      <c r="J132" s="83" t="s">
        <v>1553</v>
      </c>
      <c r="M132" s="21">
        <f t="shared" si="26"/>
        <v>448.8</v>
      </c>
      <c r="N132" s="66" t="e">
        <f>M132-#REF!</f>
        <v>#REF!</v>
      </c>
      <c r="O132" s="21" t="e">
        <f t="shared" si="50"/>
        <v>#REF!</v>
      </c>
    </row>
    <row r="133" spans="1:18" s="21" customFormat="1" ht="24" x14ac:dyDescent="0.2">
      <c r="A133" s="128">
        <f t="shared" si="33"/>
        <v>118</v>
      </c>
      <c r="B133" s="127" t="s">
        <v>1539</v>
      </c>
      <c r="C133" s="53" t="s">
        <v>1506</v>
      </c>
      <c r="D133" s="79">
        <v>1</v>
      </c>
      <c r="E133" s="82">
        <v>125</v>
      </c>
      <c r="F133" s="56">
        <f t="shared" si="46"/>
        <v>125</v>
      </c>
      <c r="G133" s="56">
        <f t="shared" si="47"/>
        <v>21.25</v>
      </c>
      <c r="H133" s="85">
        <f t="shared" si="48"/>
        <v>146.25</v>
      </c>
      <c r="I133" s="56">
        <f t="shared" si="49"/>
        <v>146.25</v>
      </c>
      <c r="J133" s="83" t="s">
        <v>1553</v>
      </c>
      <c r="M133" s="21">
        <f t="shared" si="26"/>
        <v>448.8</v>
      </c>
      <c r="N133" s="66" t="e">
        <f>M133-#REF!</f>
        <v>#REF!</v>
      </c>
      <c r="O133" s="21" t="e">
        <f t="shared" si="50"/>
        <v>#REF!</v>
      </c>
    </row>
    <row r="134" spans="1:18" s="21" customFormat="1" ht="24" x14ac:dyDescent="0.2">
      <c r="A134" s="128">
        <f t="shared" si="33"/>
        <v>119</v>
      </c>
      <c r="B134" s="127" t="s">
        <v>1517</v>
      </c>
      <c r="C134" s="53" t="s">
        <v>1506</v>
      </c>
      <c r="D134" s="79">
        <v>1</v>
      </c>
      <c r="E134" s="82">
        <v>250</v>
      </c>
      <c r="F134" s="56">
        <f t="shared" si="46"/>
        <v>250</v>
      </c>
      <c r="G134" s="56">
        <f t="shared" si="47"/>
        <v>42.5</v>
      </c>
      <c r="H134" s="85">
        <f t="shared" si="48"/>
        <v>292.5</v>
      </c>
      <c r="I134" s="56">
        <f t="shared" si="49"/>
        <v>292.5</v>
      </c>
      <c r="J134" s="83" t="s">
        <v>1554</v>
      </c>
      <c r="M134" s="21">
        <f t="shared" si="26"/>
        <v>448.8</v>
      </c>
      <c r="N134" s="66" t="e">
        <f>M134-#REF!</f>
        <v>#REF!</v>
      </c>
      <c r="O134" s="21" t="e">
        <f t="shared" si="50"/>
        <v>#REF!</v>
      </c>
    </row>
    <row r="135" spans="1:18" s="21" customFormat="1" ht="24" x14ac:dyDescent="0.2">
      <c r="A135" s="128">
        <f t="shared" si="33"/>
        <v>120</v>
      </c>
      <c r="B135" s="127" t="s">
        <v>1548</v>
      </c>
      <c r="C135" s="53" t="s">
        <v>23</v>
      </c>
      <c r="D135" s="79">
        <v>12</v>
      </c>
      <c r="E135" s="82">
        <v>28</v>
      </c>
      <c r="F135" s="56">
        <f t="shared" si="34"/>
        <v>336</v>
      </c>
      <c r="G135" s="56">
        <f>F135*0</f>
        <v>0</v>
      </c>
      <c r="H135" s="85">
        <f>E135*1</f>
        <v>28</v>
      </c>
      <c r="I135" s="56">
        <f t="shared" si="37"/>
        <v>336</v>
      </c>
      <c r="J135" s="83" t="s">
        <v>1554</v>
      </c>
      <c r="M135" s="21">
        <f t="shared" si="26"/>
        <v>448.8</v>
      </c>
      <c r="N135" s="66" t="e">
        <f>M135-#REF!</f>
        <v>#REF!</v>
      </c>
      <c r="O135" s="21" t="e">
        <f t="shared" si="38"/>
        <v>#REF!</v>
      </c>
    </row>
    <row r="136" spans="1:18" s="21" customFormat="1" ht="15.75" x14ac:dyDescent="0.2">
      <c r="A136" s="128">
        <f t="shared" si="33"/>
        <v>121</v>
      </c>
      <c r="B136" s="127" t="s">
        <v>1493</v>
      </c>
      <c r="C136" s="53" t="s">
        <v>1506</v>
      </c>
      <c r="D136" s="79">
        <v>1</v>
      </c>
      <c r="E136" s="82">
        <v>180</v>
      </c>
      <c r="F136" s="56">
        <f t="shared" si="34"/>
        <v>180</v>
      </c>
      <c r="G136" s="56">
        <f t="shared" si="35"/>
        <v>30.6</v>
      </c>
      <c r="H136" s="85">
        <f t="shared" si="36"/>
        <v>210.6</v>
      </c>
      <c r="I136" s="56">
        <f t="shared" si="37"/>
        <v>210.6</v>
      </c>
      <c r="J136" s="83" t="s">
        <v>1554</v>
      </c>
      <c r="M136" s="21">
        <f t="shared" si="26"/>
        <v>448.8</v>
      </c>
      <c r="N136" s="66" t="e">
        <f>M136-#REF!</f>
        <v>#REF!</v>
      </c>
      <c r="O136" s="21" t="e">
        <f t="shared" si="38"/>
        <v>#REF!</v>
      </c>
    </row>
    <row r="137" spans="1:18" s="21" customFormat="1" ht="15.75" x14ac:dyDescent="0.2">
      <c r="A137" s="128">
        <f t="shared" si="33"/>
        <v>122</v>
      </c>
      <c r="B137" s="127" t="s">
        <v>1494</v>
      </c>
      <c r="C137" s="53" t="s">
        <v>1506</v>
      </c>
      <c r="D137" s="79">
        <v>1</v>
      </c>
      <c r="E137" s="82">
        <v>25</v>
      </c>
      <c r="F137" s="56">
        <f t="shared" si="34"/>
        <v>25</v>
      </c>
      <c r="G137" s="56">
        <f>F137*0</f>
        <v>0</v>
      </c>
      <c r="H137" s="85">
        <f>E137*1</f>
        <v>25</v>
      </c>
      <c r="I137" s="56">
        <f t="shared" si="37"/>
        <v>25</v>
      </c>
      <c r="J137" s="83" t="s">
        <v>1554</v>
      </c>
      <c r="M137" s="21">
        <f t="shared" si="26"/>
        <v>448.8</v>
      </c>
      <c r="N137" s="66" t="e">
        <f>M137-#REF!</f>
        <v>#REF!</v>
      </c>
      <c r="O137" s="21" t="e">
        <f t="shared" si="38"/>
        <v>#REF!</v>
      </c>
    </row>
    <row r="138" spans="1:18" s="21" customFormat="1" ht="15.75" x14ac:dyDescent="0.2">
      <c r="A138" s="128">
        <f t="shared" si="33"/>
        <v>123</v>
      </c>
      <c r="B138" s="127" t="s">
        <v>1498</v>
      </c>
      <c r="C138" s="53" t="s">
        <v>1506</v>
      </c>
      <c r="D138" s="79">
        <v>1</v>
      </c>
      <c r="E138" s="82">
        <v>175</v>
      </c>
      <c r="F138" s="56">
        <f t="shared" si="34"/>
        <v>175</v>
      </c>
      <c r="G138" s="56">
        <f t="shared" si="35"/>
        <v>29.750000000000004</v>
      </c>
      <c r="H138" s="85">
        <f t="shared" si="36"/>
        <v>204.75</v>
      </c>
      <c r="I138" s="56">
        <f t="shared" si="37"/>
        <v>204.75</v>
      </c>
      <c r="J138" s="83" t="s">
        <v>1554</v>
      </c>
      <c r="M138" s="21">
        <f t="shared" si="26"/>
        <v>448.8</v>
      </c>
      <c r="N138" s="66" t="e">
        <f>M138-#REF!</f>
        <v>#REF!</v>
      </c>
      <c r="O138" s="21" t="e">
        <f t="shared" si="38"/>
        <v>#REF!</v>
      </c>
    </row>
    <row r="139" spans="1:18" s="21" customFormat="1" ht="15.75" x14ac:dyDescent="0.2">
      <c r="A139" s="128">
        <f t="shared" si="33"/>
        <v>124</v>
      </c>
      <c r="B139" s="127" t="s">
        <v>1549</v>
      </c>
      <c r="C139" s="53" t="s">
        <v>23</v>
      </c>
      <c r="D139" s="79">
        <v>11</v>
      </c>
      <c r="E139" s="82">
        <v>380</v>
      </c>
      <c r="F139" s="56">
        <f t="shared" si="34"/>
        <v>4180</v>
      </c>
      <c r="G139" s="56">
        <f t="shared" si="35"/>
        <v>710.6</v>
      </c>
      <c r="H139" s="85">
        <f t="shared" si="36"/>
        <v>444.59999999999997</v>
      </c>
      <c r="I139" s="56">
        <f t="shared" si="37"/>
        <v>4890.5999999999995</v>
      </c>
      <c r="J139" s="83" t="s">
        <v>1555</v>
      </c>
      <c r="M139" s="21">
        <f t="shared" si="26"/>
        <v>448.8</v>
      </c>
      <c r="N139" s="66" t="e">
        <f>M139-#REF!</f>
        <v>#REF!</v>
      </c>
      <c r="O139" s="21" t="e">
        <f t="shared" si="38"/>
        <v>#REF!</v>
      </c>
    </row>
    <row r="140" spans="1:18" s="21" customFormat="1" ht="15.75" x14ac:dyDescent="0.2">
      <c r="A140" s="128">
        <f t="shared" si="33"/>
        <v>125</v>
      </c>
      <c r="B140" s="127" t="s">
        <v>1550</v>
      </c>
      <c r="C140" s="53" t="s">
        <v>166</v>
      </c>
      <c r="D140" s="79">
        <v>50</v>
      </c>
      <c r="E140" s="82">
        <v>25</v>
      </c>
      <c r="F140" s="56">
        <f t="shared" si="34"/>
        <v>1250</v>
      </c>
      <c r="G140" s="56">
        <f>F140*0.17</f>
        <v>212.50000000000003</v>
      </c>
      <c r="H140" s="85">
        <f>E140*1.17</f>
        <v>29.25</v>
      </c>
      <c r="I140" s="56">
        <f t="shared" si="37"/>
        <v>1462.5</v>
      </c>
      <c r="J140" s="83" t="s">
        <v>1556</v>
      </c>
      <c r="M140" s="21">
        <f t="shared" si="26"/>
        <v>448.8</v>
      </c>
      <c r="N140" s="66" t="e">
        <f>M140-#REF!</f>
        <v>#REF!</v>
      </c>
      <c r="O140" s="21" t="e">
        <f t="shared" si="38"/>
        <v>#REF!</v>
      </c>
    </row>
    <row r="141" spans="1:18" s="21" customFormat="1" x14ac:dyDescent="0.25">
      <c r="A141" s="53"/>
      <c r="B141" s="47"/>
      <c r="C141" s="82"/>
      <c r="D141" s="57"/>
      <c r="E141" s="56"/>
      <c r="F141" s="56"/>
      <c r="G141" s="56"/>
      <c r="H141" s="57"/>
      <c r="I141" s="56"/>
      <c r="J141" s="58"/>
      <c r="M141" s="21">
        <f t="shared" si="26"/>
        <v>448.8</v>
      </c>
      <c r="N141" s="66" t="e">
        <f>M141-#REF!</f>
        <v>#REF!</v>
      </c>
      <c r="O141" s="21" t="e">
        <f t="shared" si="27"/>
        <v>#REF!</v>
      </c>
    </row>
    <row r="142" spans="1:18" ht="15.75" thickBot="1" x14ac:dyDescent="0.3">
      <c r="A142" s="33"/>
      <c r="B142" s="34" t="s">
        <v>24</v>
      </c>
      <c r="C142" s="35"/>
      <c r="D142" s="62">
        <f>SUM(D16:D140)</f>
        <v>399</v>
      </c>
      <c r="E142" s="35"/>
      <c r="F142" s="62">
        <f>SUM(F16:F140)</f>
        <v>31835</v>
      </c>
      <c r="G142" s="62">
        <f>SUM(G16:G140)</f>
        <v>4027.4700000000003</v>
      </c>
      <c r="H142" s="35"/>
      <c r="I142" s="62">
        <f>SUM(I16:I140)</f>
        <v>35862.469999999987</v>
      </c>
      <c r="J142" s="37"/>
      <c r="M142" t="e">
        <f>#REF!/117*100</f>
        <v>#REF!</v>
      </c>
      <c r="O142" t="e">
        <f>M142*1.1</f>
        <v>#REF!</v>
      </c>
    </row>
    <row r="143" spans="1:18" ht="15.75" thickTop="1" x14ac:dyDescent="0.25">
      <c r="A143" s="33"/>
      <c r="B143" s="34" t="s">
        <v>1557</v>
      </c>
      <c r="C143" s="35"/>
      <c r="D143" s="35"/>
      <c r="E143" s="35"/>
      <c r="F143" s="35"/>
      <c r="G143" s="35"/>
      <c r="H143" s="35"/>
      <c r="I143" s="35"/>
      <c r="J143" s="37"/>
    </row>
    <row r="144" spans="1:18" x14ac:dyDescent="0.25">
      <c r="A144" s="33"/>
      <c r="B144" s="38" t="s">
        <v>25</v>
      </c>
      <c r="C144" s="35"/>
      <c r="D144" s="35"/>
      <c r="E144" s="35"/>
      <c r="F144" s="35"/>
      <c r="G144" s="35"/>
      <c r="H144" s="35"/>
      <c r="I144" s="35"/>
      <c r="J144" s="37"/>
      <c r="M144" s="64" t="e">
        <f>M142*#REF!</f>
        <v>#REF!</v>
      </c>
      <c r="O144" s="65" t="e">
        <f>#REF!</f>
        <v>#REF!</v>
      </c>
      <c r="P144" s="64" t="e">
        <f>O144-M144</f>
        <v>#REF!</v>
      </c>
      <c r="Q144" s="64" t="e">
        <f>#REF!*0.045</f>
        <v>#REF!</v>
      </c>
      <c r="R144" s="64" t="e">
        <f>P144-Q144</f>
        <v>#REF!</v>
      </c>
    </row>
    <row r="145" spans="2:18" ht="30" customHeight="1" x14ac:dyDescent="0.25">
      <c r="B145" s="183" t="s">
        <v>26</v>
      </c>
      <c r="C145" s="183"/>
      <c r="D145" s="183"/>
      <c r="E145" s="183"/>
      <c r="F145" s="183"/>
      <c r="G145" s="183"/>
      <c r="H145" s="183"/>
      <c r="I145" s="183"/>
      <c r="J145" s="183"/>
      <c r="P145" s="64"/>
      <c r="R145" s="65" t="e">
        <f>#REF!-#REF!</f>
        <v>#REF!</v>
      </c>
    </row>
    <row r="146" spans="2:18" x14ac:dyDescent="0.25">
      <c r="B146" t="s">
        <v>27</v>
      </c>
    </row>
    <row r="149" spans="2:18" x14ac:dyDescent="0.25">
      <c r="B149" t="s">
        <v>28</v>
      </c>
      <c r="H149" t="s">
        <v>28</v>
      </c>
    </row>
    <row r="150" spans="2:18" x14ac:dyDescent="0.25">
      <c r="B150" t="s">
        <v>29</v>
      </c>
      <c r="H150" t="s">
        <v>30</v>
      </c>
    </row>
  </sheetData>
  <autoFilter ref="A15:J146" xr:uid="{00000000-0009-0000-0000-000000000000}"/>
  <mergeCells count="5">
    <mergeCell ref="A6:J6"/>
    <mergeCell ref="I7:J7"/>
    <mergeCell ref="I8:J8"/>
    <mergeCell ref="I9:J9"/>
    <mergeCell ref="B145:J145"/>
  </mergeCells>
  <hyperlinks>
    <hyperlink ref="H5" r:id="rId1" xr:uid="{A7890CF9-4B61-4A87-86E0-DC43B6EE55B8}"/>
  </hyperlinks>
  <pageMargins left="0.2" right="0.1" top="0.25" bottom="0.25" header="0.3" footer="0.3"/>
  <pageSetup paperSize="9" orientation="portrait" r:id="rId2"/>
  <drawing r:id="rId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8960A-9B7B-4764-91E4-A7154C865422}">
  <dimension ref="A1:R26"/>
  <sheetViews>
    <sheetView topLeftCell="A5" workbookViewId="0">
      <selection activeCell="B19" sqref="B19:B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1470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1474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1475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1476</v>
      </c>
      <c r="C16" s="53" t="s">
        <v>1234</v>
      </c>
      <c r="D16" s="79">
        <v>4</v>
      </c>
      <c r="E16" s="82">
        <v>620</v>
      </c>
      <c r="F16" s="56">
        <f>D16*E16</f>
        <v>2480</v>
      </c>
      <c r="G16" s="56">
        <f>F16*0.17</f>
        <v>421.6</v>
      </c>
      <c r="H16" s="74">
        <f>E16*1.17</f>
        <v>725.4</v>
      </c>
      <c r="I16" s="56">
        <f>H16*D16</f>
        <v>2901.6</v>
      </c>
      <c r="J16" s="83"/>
      <c r="M16" s="21">
        <f t="shared" ref="M16:M17" si="0">440*1.02</f>
        <v>448.8</v>
      </c>
      <c r="N16" s="66" t="e">
        <f>M16-#REF!</f>
        <v>#REF!</v>
      </c>
      <c r="O16" s="21" t="e">
        <f t="shared" ref="O16:O17" si="1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ref="F17" si="2">D17*E17</f>
        <v>0</v>
      </c>
      <c r="G17" s="56">
        <f t="shared" ref="G17" si="3">F17*0.17</f>
        <v>0</v>
      </c>
      <c r="H17" s="57">
        <f t="shared" ref="H17" si="4">E17*1.17</f>
        <v>0</v>
      </c>
      <c r="I17" s="56">
        <f t="shared" ref="I17" si="5">H17*D17</f>
        <v>0</v>
      </c>
      <c r="J17" s="58"/>
      <c r="M17" s="21">
        <f t="shared" si="0"/>
        <v>448.8</v>
      </c>
      <c r="N17" s="66" t="e">
        <f>M17-#REF!</f>
        <v>#REF!</v>
      </c>
      <c r="O17" s="21" t="e">
        <f t="shared" si="1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4</v>
      </c>
      <c r="E18" s="35"/>
      <c r="F18" s="62">
        <f>SUM(F16:F17)</f>
        <v>2480</v>
      </c>
      <c r="G18" s="62">
        <f>SUM(G16:G17)</f>
        <v>421.6</v>
      </c>
      <c r="H18" s="35"/>
      <c r="I18" s="62">
        <f>SUM(I16:I17)</f>
        <v>2901.6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1477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27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9698246C-A438-4B8A-B71F-918AE596B545}"/>
  </hyperlinks>
  <pageMargins left="0.2" right="0.1" top="0.25" bottom="0.25" header="0.3" footer="0.3"/>
  <pageSetup paperSize="9" orientation="portrait" r:id="rId2"/>
  <drawing r:id="rId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05209-FD71-4393-A158-3E652FC9EB32}">
  <dimension ref="A1:R26"/>
  <sheetViews>
    <sheetView workbookViewId="0">
      <selection activeCell="L8" sqref="L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1470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1471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93" t="s">
        <v>1472</v>
      </c>
      <c r="J9" s="188"/>
    </row>
    <row r="10" spans="1:15" x14ac:dyDescent="0.25">
      <c r="B10" t="s">
        <v>9</v>
      </c>
      <c r="C10" s="10" t="s">
        <v>1480</v>
      </c>
      <c r="D10" s="10"/>
      <c r="E10" s="10"/>
      <c r="F10" s="10"/>
    </row>
    <row r="11" spans="1:15" x14ac:dyDescent="0.25">
      <c r="B11" t="s">
        <v>11</v>
      </c>
      <c r="C11" s="10" t="s">
        <v>1481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1479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1473</v>
      </c>
      <c r="C16" s="53" t="s">
        <v>825</v>
      </c>
      <c r="D16" s="79">
        <v>1500</v>
      </c>
      <c r="E16" s="82">
        <v>88</v>
      </c>
      <c r="F16" s="56">
        <f>D16*E16</f>
        <v>132000</v>
      </c>
      <c r="G16" s="56">
        <f>F16*0.17</f>
        <v>22440</v>
      </c>
      <c r="H16" s="74">
        <f>E16*1.17</f>
        <v>102.96</v>
      </c>
      <c r="I16" s="56">
        <f>H16*D16</f>
        <v>154440</v>
      </c>
      <c r="J16" s="83"/>
      <c r="M16" s="21">
        <f t="shared" ref="M16:M17" si="0">440*1.02</f>
        <v>448.8</v>
      </c>
      <c r="N16" s="66" t="e">
        <f>M16-#REF!</f>
        <v>#REF!</v>
      </c>
      <c r="O16" s="21" t="e">
        <f t="shared" ref="O16:O17" si="1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ref="F17" si="2">D17*E17</f>
        <v>0</v>
      </c>
      <c r="G17" s="56">
        <f t="shared" ref="G17" si="3">F17*0.17</f>
        <v>0</v>
      </c>
      <c r="H17" s="57">
        <f t="shared" ref="H17" si="4">E17*1.17</f>
        <v>0</v>
      </c>
      <c r="I17" s="56">
        <f t="shared" ref="I17" si="5">H17*D17</f>
        <v>0</v>
      </c>
      <c r="J17" s="58"/>
      <c r="M17" s="21">
        <f t="shared" si="0"/>
        <v>448.8</v>
      </c>
      <c r="N17" s="66" t="e">
        <f>M17-#REF!</f>
        <v>#REF!</v>
      </c>
      <c r="O17" s="21" t="e">
        <f t="shared" si="1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1500</v>
      </c>
      <c r="E18" s="35"/>
      <c r="F18" s="62">
        <f>SUM(F16:F17)</f>
        <v>132000</v>
      </c>
      <c r="G18" s="62">
        <f>SUM(G16:G17)</f>
        <v>22440</v>
      </c>
      <c r="H18" s="35"/>
      <c r="I18" s="62">
        <f>SUM(I16:I17)</f>
        <v>154440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1478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27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B8B5DCF4-F290-4B72-8295-CAC6ED10C2D6}"/>
  </hyperlinks>
  <pageMargins left="0.2" right="0.1" top="0.25" bottom="0.25" header="0.3" footer="0.3"/>
  <pageSetup paperSize="9" orientation="portrait" r:id="rId2"/>
  <drawing r:id="rId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7B114-CD7E-4E0D-A434-3C0DDB8E99A0}">
  <dimension ref="A1:R29"/>
  <sheetViews>
    <sheetView topLeftCell="A8" workbookViewId="0">
      <selection activeCell="B25" sqref="B2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1455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1466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1467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1322</v>
      </c>
      <c r="C16" s="53" t="s">
        <v>1234</v>
      </c>
      <c r="D16" s="79">
        <v>15</v>
      </c>
      <c r="E16" s="82">
        <v>140</v>
      </c>
      <c r="F16" s="56">
        <f>D16*E16</f>
        <v>2100</v>
      </c>
      <c r="G16" s="56">
        <f>F16*0.17</f>
        <v>357</v>
      </c>
      <c r="H16" s="74">
        <f>E16*1.17</f>
        <v>163.79999999999998</v>
      </c>
      <c r="I16" s="56">
        <f>H16*D16</f>
        <v>2456.9999999999995</v>
      </c>
      <c r="J16" s="83"/>
      <c r="M16" s="21">
        <f t="shared" ref="M16:M20" si="0">440*1.02</f>
        <v>448.8</v>
      </c>
      <c r="N16" s="66" t="e">
        <f>M16-#REF!</f>
        <v>#REF!</v>
      </c>
      <c r="O16" s="21" t="e">
        <f t="shared" ref="O16:O20" si="1">N16*D16</f>
        <v>#REF!</v>
      </c>
    </row>
    <row r="17" spans="1:18" s="21" customFormat="1" x14ac:dyDescent="0.25">
      <c r="A17" s="53">
        <v>2</v>
      </c>
      <c r="B17" s="47" t="s">
        <v>1468</v>
      </c>
      <c r="C17" s="53" t="s">
        <v>1234</v>
      </c>
      <c r="D17" s="79">
        <v>47</v>
      </c>
      <c r="E17" s="82">
        <v>140</v>
      </c>
      <c r="F17" s="56">
        <f t="shared" ref="F17:F20" si="2">D17*E17</f>
        <v>6580</v>
      </c>
      <c r="G17" s="56">
        <f t="shared" ref="G17:G20" si="3">F17*0.17</f>
        <v>1118.6000000000001</v>
      </c>
      <c r="H17" s="57">
        <f t="shared" ref="H17:H20" si="4">E17*1.17</f>
        <v>163.79999999999998</v>
      </c>
      <c r="I17" s="56">
        <f t="shared" ref="I17:I20" si="5">H17*D17</f>
        <v>7698.5999999999995</v>
      </c>
      <c r="J17" s="58"/>
      <c r="M17" s="21">
        <f t="shared" si="0"/>
        <v>448.8</v>
      </c>
      <c r="N17" s="66" t="e">
        <f>M17-#REF!</f>
        <v>#REF!</v>
      </c>
      <c r="O17" s="21" t="e">
        <f t="shared" si="1"/>
        <v>#REF!</v>
      </c>
    </row>
    <row r="18" spans="1:18" s="21" customFormat="1" x14ac:dyDescent="0.25">
      <c r="A18" s="53">
        <v>3</v>
      </c>
      <c r="B18" s="47" t="s">
        <v>1320</v>
      </c>
      <c r="C18" s="53" t="s">
        <v>1234</v>
      </c>
      <c r="D18" s="79">
        <v>17</v>
      </c>
      <c r="E18" s="82">
        <v>320</v>
      </c>
      <c r="F18" s="56">
        <f t="shared" si="2"/>
        <v>5440</v>
      </c>
      <c r="G18" s="56">
        <f t="shared" si="3"/>
        <v>924.80000000000007</v>
      </c>
      <c r="H18" s="57">
        <f t="shared" si="4"/>
        <v>374.4</v>
      </c>
      <c r="I18" s="56">
        <f t="shared" si="5"/>
        <v>6364.7999999999993</v>
      </c>
      <c r="J18" s="58"/>
      <c r="M18" s="21">
        <f t="shared" si="0"/>
        <v>448.8</v>
      </c>
      <c r="N18" s="66" t="e">
        <f>M18-#REF!</f>
        <v>#REF!</v>
      </c>
      <c r="O18" s="21" t="e">
        <f t="shared" si="1"/>
        <v>#REF!</v>
      </c>
    </row>
    <row r="19" spans="1:18" s="21" customFormat="1" x14ac:dyDescent="0.25">
      <c r="A19" s="53">
        <v>4</v>
      </c>
      <c r="B19" s="47" t="s">
        <v>1463</v>
      </c>
      <c r="C19" s="53" t="s">
        <v>1234</v>
      </c>
      <c r="D19" s="79">
        <v>7</v>
      </c>
      <c r="E19" s="82">
        <v>180</v>
      </c>
      <c r="F19" s="56">
        <f t="shared" ref="F19" si="6">D19*E19</f>
        <v>1260</v>
      </c>
      <c r="G19" s="56">
        <f t="shared" ref="G19" si="7">F19*0.17</f>
        <v>214.20000000000002</v>
      </c>
      <c r="H19" s="57">
        <f t="shared" ref="H19" si="8">E19*1.17</f>
        <v>210.6</v>
      </c>
      <c r="I19" s="56">
        <f t="shared" ref="I19" si="9">H19*D19</f>
        <v>1474.2</v>
      </c>
      <c r="J19" s="58"/>
      <c r="M19" s="21">
        <f t="shared" si="0"/>
        <v>448.8</v>
      </c>
      <c r="N19" s="66" t="e">
        <f>M19-#REF!</f>
        <v>#REF!</v>
      </c>
      <c r="O19" s="21" t="e">
        <f t="shared" ref="O19" si="10">N19*D19</f>
        <v>#REF!</v>
      </c>
    </row>
    <row r="20" spans="1:18" s="21" customFormat="1" x14ac:dyDescent="0.25">
      <c r="A20" s="53"/>
      <c r="B20" s="47"/>
      <c r="C20" s="82"/>
      <c r="D20" s="57"/>
      <c r="E20" s="56"/>
      <c r="F20" s="56">
        <f t="shared" si="2"/>
        <v>0</v>
      </c>
      <c r="G20" s="56">
        <f t="shared" si="3"/>
        <v>0</v>
      </c>
      <c r="H20" s="57">
        <f t="shared" si="4"/>
        <v>0</v>
      </c>
      <c r="I20" s="56">
        <f t="shared" si="5"/>
        <v>0</v>
      </c>
      <c r="J20" s="58"/>
      <c r="M20" s="21">
        <f t="shared" si="0"/>
        <v>448.8</v>
      </c>
      <c r="N20" s="66" t="e">
        <f>M20-#REF!</f>
        <v>#REF!</v>
      </c>
      <c r="O20" s="21" t="e">
        <f t="shared" si="1"/>
        <v>#REF!</v>
      </c>
    </row>
    <row r="21" spans="1:18" ht="15.75" thickBot="1" x14ac:dyDescent="0.3">
      <c r="A21" s="33"/>
      <c r="B21" s="34" t="s">
        <v>24</v>
      </c>
      <c r="C21" s="35"/>
      <c r="D21" s="62">
        <f>SUM(D16:D20)</f>
        <v>86</v>
      </c>
      <c r="E21" s="35"/>
      <c r="F21" s="62">
        <f>SUM(F16:F20)</f>
        <v>15380</v>
      </c>
      <c r="G21" s="62">
        <f>SUM(G16:G20)</f>
        <v>2614.6</v>
      </c>
      <c r="H21" s="35"/>
      <c r="I21" s="62">
        <f>SUM(I16:I20)</f>
        <v>17994.599999999999</v>
      </c>
      <c r="J21" s="37"/>
      <c r="M21" t="e">
        <f>#REF!/117*100</f>
        <v>#REF!</v>
      </c>
      <c r="O21" t="e">
        <f>M21*1.1</f>
        <v>#REF!</v>
      </c>
    </row>
    <row r="22" spans="1:18" ht="15.75" thickTop="1" x14ac:dyDescent="0.25">
      <c r="A22" s="33"/>
      <c r="B22" s="34" t="s">
        <v>1469</v>
      </c>
      <c r="C22" s="35"/>
      <c r="D22" s="35"/>
      <c r="E22" s="35"/>
      <c r="F22" s="35"/>
      <c r="G22" s="35"/>
      <c r="H22" s="35"/>
      <c r="I22" s="35"/>
      <c r="J22" s="37"/>
    </row>
    <row r="23" spans="1:18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  <c r="M23" s="64" t="e">
        <f>M21*#REF!</f>
        <v>#REF!</v>
      </c>
      <c r="O23" s="65" t="e">
        <f>#REF!</f>
        <v>#REF!</v>
      </c>
      <c r="P23" s="64" t="e">
        <f>O23-M23</f>
        <v>#REF!</v>
      </c>
      <c r="Q23" s="64" t="e">
        <f>#REF!*0.045</f>
        <v>#REF!</v>
      </c>
      <c r="R23" s="64" t="e">
        <f>P23-Q23</f>
        <v>#REF!</v>
      </c>
    </row>
    <row r="24" spans="1:18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  <c r="P24" s="64"/>
      <c r="R24" s="65" t="e">
        <f>#REF!-#REF!</f>
        <v>#REF!</v>
      </c>
    </row>
    <row r="25" spans="1:18" x14ac:dyDescent="0.25">
      <c r="B25" t="s">
        <v>27</v>
      </c>
    </row>
    <row r="28" spans="1:18" x14ac:dyDescent="0.25">
      <c r="B28" t="s">
        <v>28</v>
      </c>
      <c r="H28" t="s">
        <v>28</v>
      </c>
    </row>
    <row r="29" spans="1:18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A3FC7436-84DF-48E7-A99A-506BCF433F9F}"/>
  </hyperlinks>
  <pageMargins left="0.2" right="0.1" top="0.25" bottom="0.2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D5E4C-7E12-41BD-BC38-794D41C6BFA5}">
  <dimension ref="A1:J25"/>
  <sheetViews>
    <sheetView workbookViewId="0">
      <selection activeCell="C16" sqref="C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2283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1838</v>
      </c>
      <c r="D10" s="10"/>
      <c r="E10" s="10"/>
      <c r="F10" s="10"/>
    </row>
    <row r="11" spans="1:10" x14ac:dyDescent="0.25">
      <c r="B11" t="s">
        <v>11</v>
      </c>
      <c r="C11" s="132" t="s">
        <v>1839</v>
      </c>
      <c r="D11" s="11"/>
      <c r="E11" s="11"/>
      <c r="F11" s="11"/>
    </row>
    <row r="12" spans="1:10" x14ac:dyDescent="0.25">
      <c r="A12" s="12"/>
      <c r="B12" s="13"/>
      <c r="C12" s="132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1840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2282</v>
      </c>
      <c r="C16" s="54" t="s">
        <v>23</v>
      </c>
      <c r="D16" s="72">
        <v>2</v>
      </c>
      <c r="E16" s="56">
        <v>4000</v>
      </c>
      <c r="F16" s="56">
        <f t="shared" ref="F16" si="0">D16*E16</f>
        <v>8000</v>
      </c>
      <c r="G16" s="56">
        <f>F16*0.17</f>
        <v>1360</v>
      </c>
      <c r="H16" s="84">
        <f>E16*1.17</f>
        <v>4680</v>
      </c>
      <c r="I16" s="56">
        <f t="shared" ref="I16" si="1">H16*D16</f>
        <v>9360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2</v>
      </c>
      <c r="E17" s="35"/>
      <c r="F17" s="62">
        <f>SUM(F16:F16)</f>
        <v>8000</v>
      </c>
      <c r="G17" s="62">
        <f>SUM(G16:G16)</f>
        <v>1360</v>
      </c>
      <c r="H17" s="35"/>
      <c r="I17" s="62">
        <f>SUM(I16:I16)</f>
        <v>9360</v>
      </c>
      <c r="J17" s="37"/>
    </row>
    <row r="18" spans="1:10" ht="15.75" thickTop="1" x14ac:dyDescent="0.25">
      <c r="A18" s="33"/>
      <c r="B18" s="34" t="s">
        <v>550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289DE9B8-1575-4E86-A106-A4F7CDABB225}"/>
  </hyperlinks>
  <pageMargins left="0.2" right="0.1" top="0.25" bottom="0.25" header="0.3" footer="0.3"/>
  <pageSetup paperSize="9" orientation="portrait" r:id="rId2"/>
  <drawing r:id="rId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B7113-D748-4E89-91D1-476D2028746A}">
  <dimension ref="A1:R29"/>
  <sheetViews>
    <sheetView topLeftCell="A4" workbookViewId="0">
      <selection activeCell="A6" sqref="A6:J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1455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1460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1461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1462</v>
      </c>
      <c r="C16" s="53" t="s">
        <v>1234</v>
      </c>
      <c r="D16" s="79">
        <v>8</v>
      </c>
      <c r="E16" s="82">
        <v>250</v>
      </c>
      <c r="F16" s="56">
        <f>D16*E16</f>
        <v>2000</v>
      </c>
      <c r="G16" s="56">
        <f>F16*0.17</f>
        <v>340</v>
      </c>
      <c r="H16" s="74">
        <f>E16*1.17</f>
        <v>292.5</v>
      </c>
      <c r="I16" s="56">
        <f>H16*D16</f>
        <v>2340</v>
      </c>
      <c r="J16" s="83"/>
      <c r="M16" s="21">
        <f t="shared" ref="M16:M20" si="0">440*1.02</f>
        <v>448.8</v>
      </c>
      <c r="N16" s="66" t="e">
        <f>M16-#REF!</f>
        <v>#REF!</v>
      </c>
      <c r="O16" s="21" t="e">
        <f t="shared" ref="O16:O20" si="1">N16*D16</f>
        <v>#REF!</v>
      </c>
    </row>
    <row r="17" spans="1:18" s="21" customFormat="1" x14ac:dyDescent="0.25">
      <c r="A17" s="53">
        <v>2</v>
      </c>
      <c r="B17" s="47" t="s">
        <v>1463</v>
      </c>
      <c r="C17" s="53" t="s">
        <v>1234</v>
      </c>
      <c r="D17" s="79">
        <v>10</v>
      </c>
      <c r="E17" s="82">
        <v>180</v>
      </c>
      <c r="F17" s="56">
        <f t="shared" ref="F17" si="2">D17*E17</f>
        <v>1800</v>
      </c>
      <c r="G17" s="56">
        <f t="shared" ref="G17" si="3">F17*0.17</f>
        <v>306</v>
      </c>
      <c r="H17" s="57">
        <f t="shared" ref="H17" si="4">E17*1.17</f>
        <v>210.6</v>
      </c>
      <c r="I17" s="56">
        <f t="shared" ref="I17" si="5">H17*D17</f>
        <v>2106</v>
      </c>
      <c r="J17" s="58"/>
      <c r="M17" s="21">
        <f t="shared" si="0"/>
        <v>448.8</v>
      </c>
      <c r="N17" s="66" t="e">
        <f>M17-#REF!</f>
        <v>#REF!</v>
      </c>
      <c r="O17" s="21" t="e">
        <f t="shared" ref="O17" si="6">N17*D17</f>
        <v>#REF!</v>
      </c>
    </row>
    <row r="18" spans="1:18" s="21" customFormat="1" x14ac:dyDescent="0.25">
      <c r="A18" s="53">
        <v>3</v>
      </c>
      <c r="B18" s="47" t="s">
        <v>1464</v>
      </c>
      <c r="C18" s="53" t="s">
        <v>1234</v>
      </c>
      <c r="D18" s="79">
        <v>7</v>
      </c>
      <c r="E18" s="82">
        <v>90</v>
      </c>
      <c r="F18" s="56">
        <f t="shared" ref="F18" si="7">D18*E18</f>
        <v>630</v>
      </c>
      <c r="G18" s="56">
        <f t="shared" ref="G18" si="8">F18*0.17</f>
        <v>107.10000000000001</v>
      </c>
      <c r="H18" s="57">
        <f t="shared" ref="H18" si="9">E18*1.17</f>
        <v>105.3</v>
      </c>
      <c r="I18" s="56">
        <f t="shared" ref="I18" si="10">H18*D18</f>
        <v>737.1</v>
      </c>
      <c r="J18" s="58"/>
      <c r="M18" s="21">
        <f t="shared" si="0"/>
        <v>448.8</v>
      </c>
      <c r="N18" s="66" t="e">
        <f>M18-#REF!</f>
        <v>#REF!</v>
      </c>
      <c r="O18" s="21" t="e">
        <f t="shared" si="1"/>
        <v>#REF!</v>
      </c>
    </row>
    <row r="19" spans="1:18" s="21" customFormat="1" x14ac:dyDescent="0.25">
      <c r="A19" s="53">
        <v>4</v>
      </c>
      <c r="B19" s="47" t="s">
        <v>1458</v>
      </c>
      <c r="C19" s="53" t="s">
        <v>1234</v>
      </c>
      <c r="D19" s="79">
        <v>19</v>
      </c>
      <c r="E19" s="82">
        <v>170</v>
      </c>
      <c r="F19" s="56">
        <f t="shared" ref="F19" si="11">D19*E19</f>
        <v>3230</v>
      </c>
      <c r="G19" s="56">
        <f t="shared" ref="G19" si="12">F19*0.17</f>
        <v>549.1</v>
      </c>
      <c r="H19" s="57">
        <f t="shared" ref="H19" si="13">E19*1.17</f>
        <v>198.89999999999998</v>
      </c>
      <c r="I19" s="56">
        <f t="shared" ref="I19" si="14">H19*D19</f>
        <v>3779.0999999999995</v>
      </c>
      <c r="J19" s="58"/>
      <c r="M19" s="21">
        <f t="shared" si="0"/>
        <v>448.8</v>
      </c>
      <c r="N19" s="66" t="e">
        <f>M19-#REF!</f>
        <v>#REF!</v>
      </c>
      <c r="O19" s="21" t="e">
        <f t="shared" ref="O19" si="15">N19*D19</f>
        <v>#REF!</v>
      </c>
    </row>
    <row r="20" spans="1:18" s="21" customFormat="1" x14ac:dyDescent="0.25">
      <c r="A20" s="53"/>
      <c r="B20" s="47"/>
      <c r="C20" s="82"/>
      <c r="D20" s="57"/>
      <c r="E20" s="56"/>
      <c r="F20" s="56">
        <f t="shared" ref="F20" si="16">D20*E20</f>
        <v>0</v>
      </c>
      <c r="G20" s="56">
        <f t="shared" ref="G20" si="17">F20*0.17</f>
        <v>0</v>
      </c>
      <c r="H20" s="57">
        <f t="shared" ref="H20" si="18">E20*1.17</f>
        <v>0</v>
      </c>
      <c r="I20" s="56">
        <f t="shared" ref="I20" si="19">H20*D20</f>
        <v>0</v>
      </c>
      <c r="J20" s="58"/>
      <c r="M20" s="21">
        <f t="shared" si="0"/>
        <v>448.8</v>
      </c>
      <c r="N20" s="66" t="e">
        <f>M20-#REF!</f>
        <v>#REF!</v>
      </c>
      <c r="O20" s="21" t="e">
        <f t="shared" si="1"/>
        <v>#REF!</v>
      </c>
    </row>
    <row r="21" spans="1:18" ht="15.75" thickBot="1" x14ac:dyDescent="0.3">
      <c r="A21" s="33"/>
      <c r="B21" s="34" t="s">
        <v>24</v>
      </c>
      <c r="C21" s="35"/>
      <c r="D21" s="62">
        <f>SUM(D16:D20)</f>
        <v>44</v>
      </c>
      <c r="E21" s="35"/>
      <c r="F21" s="62">
        <f>SUM(F16:F20)</f>
        <v>7660</v>
      </c>
      <c r="G21" s="62">
        <f>SUM(G16:G20)</f>
        <v>1302.2</v>
      </c>
      <c r="H21" s="35"/>
      <c r="I21" s="62">
        <f>SUM(I16:I20)</f>
        <v>8962.2000000000007</v>
      </c>
      <c r="J21" s="37"/>
      <c r="M21" t="e">
        <f>#REF!/117*100</f>
        <v>#REF!</v>
      </c>
      <c r="O21" t="e">
        <f>M21*1.1</f>
        <v>#REF!</v>
      </c>
    </row>
    <row r="22" spans="1:18" ht="15.75" thickTop="1" x14ac:dyDescent="0.25">
      <c r="A22" s="33"/>
      <c r="B22" s="34" t="s">
        <v>1465</v>
      </c>
      <c r="C22" s="35"/>
      <c r="D22" s="35"/>
      <c r="E22" s="35"/>
      <c r="F22" s="35"/>
      <c r="G22" s="35"/>
      <c r="H22" s="35"/>
      <c r="I22" s="35"/>
      <c r="J22" s="37"/>
    </row>
    <row r="23" spans="1:18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  <c r="M23" s="64" t="e">
        <f>M21*#REF!</f>
        <v>#REF!</v>
      </c>
      <c r="O23" s="65" t="e">
        <f>#REF!</f>
        <v>#REF!</v>
      </c>
      <c r="P23" s="64" t="e">
        <f>O23-M23</f>
        <v>#REF!</v>
      </c>
      <c r="Q23" s="64" t="e">
        <f>#REF!*0.045</f>
        <v>#REF!</v>
      </c>
      <c r="R23" s="64" t="e">
        <f>P23-Q23</f>
        <v>#REF!</v>
      </c>
    </row>
    <row r="24" spans="1:18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  <c r="P24" s="64"/>
      <c r="R24" s="65" t="e">
        <f>#REF!-#REF!</f>
        <v>#REF!</v>
      </c>
    </row>
    <row r="25" spans="1:18" x14ac:dyDescent="0.25">
      <c r="B25" t="s">
        <v>27</v>
      </c>
    </row>
    <row r="28" spans="1:18" x14ac:dyDescent="0.25">
      <c r="B28" t="s">
        <v>28</v>
      </c>
      <c r="H28" t="s">
        <v>28</v>
      </c>
    </row>
    <row r="29" spans="1:18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2A53EBAC-A534-4C85-841C-DA90D52AC2D5}"/>
  </hyperlinks>
  <pageMargins left="0.2" right="0.1" top="0.25" bottom="0.25" header="0.3" footer="0.3"/>
  <pageSetup paperSize="9" orientation="portrait" r:id="rId2"/>
  <drawing r:id="rId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E493B-8B1C-445A-99CF-CB08F10F3B8F}">
  <dimension ref="A1:R26"/>
  <sheetViews>
    <sheetView topLeftCell="A4" workbookViewId="0">
      <selection activeCell="J16" sqref="J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1455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1456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1457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1458</v>
      </c>
      <c r="C16" s="53" t="s">
        <v>1234</v>
      </c>
      <c r="D16" s="79">
        <v>27</v>
      </c>
      <c r="E16" s="82">
        <v>170</v>
      </c>
      <c r="F16" s="56">
        <f>D16*E16</f>
        <v>4590</v>
      </c>
      <c r="G16" s="56">
        <f>F16*0.17</f>
        <v>780.30000000000007</v>
      </c>
      <c r="H16" s="74">
        <f>E16*1.17</f>
        <v>198.89999999999998</v>
      </c>
      <c r="I16" s="56">
        <f>H16*D16</f>
        <v>5370.2999999999993</v>
      </c>
      <c r="J16" s="134" t="s">
        <v>1762</v>
      </c>
      <c r="M16" s="21">
        <f t="shared" ref="M16:M17" si="0">440*1.02</f>
        <v>448.8</v>
      </c>
      <c r="N16" s="66" t="e">
        <f>M16-#REF!</f>
        <v>#REF!</v>
      </c>
      <c r="O16" s="21" t="e">
        <f t="shared" ref="O16:O17" si="1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ref="F17" si="2">D17*E17</f>
        <v>0</v>
      </c>
      <c r="G17" s="56">
        <f t="shared" ref="G17" si="3">F17*0.17</f>
        <v>0</v>
      </c>
      <c r="H17" s="57">
        <f t="shared" ref="H17" si="4">E17*1.17</f>
        <v>0</v>
      </c>
      <c r="I17" s="56">
        <f t="shared" ref="I17" si="5">H17*D17</f>
        <v>0</v>
      </c>
      <c r="J17" s="58"/>
      <c r="M17" s="21">
        <f t="shared" si="0"/>
        <v>448.8</v>
      </c>
      <c r="N17" s="66" t="e">
        <f>M17-#REF!</f>
        <v>#REF!</v>
      </c>
      <c r="O17" s="21" t="e">
        <f t="shared" si="1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27</v>
      </c>
      <c r="E18" s="35"/>
      <c r="F18" s="62">
        <f>SUM(F16:F17)</f>
        <v>4590</v>
      </c>
      <c r="G18" s="62">
        <f>SUM(G16:G17)</f>
        <v>780.30000000000007</v>
      </c>
      <c r="H18" s="35"/>
      <c r="I18" s="62">
        <f>SUM(I16:I17)</f>
        <v>5370.2999999999993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1459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27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894116D7-C946-4B4B-B97F-5485AB161D63}"/>
  </hyperlinks>
  <pageMargins left="0.2" right="0.1" top="0.25" bottom="0.25" header="0.3" footer="0.3"/>
  <pageSetup paperSize="9" orientation="portrait" r:id="rId2"/>
  <drawing r:id="rId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87CFD-8A35-4E64-86B7-F0531201092A}">
  <dimension ref="A1:R29"/>
  <sheetViews>
    <sheetView workbookViewId="0">
      <selection activeCell="S17" sqref="S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1421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1448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1449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1450</v>
      </c>
      <c r="C16" s="53" t="s">
        <v>1234</v>
      </c>
      <c r="D16" s="79">
        <v>6</v>
      </c>
      <c r="E16" s="56">
        <v>320</v>
      </c>
      <c r="F16" s="56">
        <f>D16*E16</f>
        <v>1920</v>
      </c>
      <c r="G16" s="56">
        <f>F16*0.17</f>
        <v>326.40000000000003</v>
      </c>
      <c r="H16" s="125">
        <f>E16*1.17</f>
        <v>374.4</v>
      </c>
      <c r="I16" s="56">
        <f t="shared" ref="I16" si="0">H16*D16</f>
        <v>2246.3999999999996</v>
      </c>
      <c r="J16" s="83"/>
      <c r="N16" s="66"/>
    </row>
    <row r="17" spans="1:18" s="21" customFormat="1" ht="15.75" x14ac:dyDescent="0.25">
      <c r="A17" s="53">
        <v>2</v>
      </c>
      <c r="B17" s="78" t="s">
        <v>1451</v>
      </c>
      <c r="C17" s="53" t="s">
        <v>76</v>
      </c>
      <c r="D17" s="79">
        <v>15</v>
      </c>
      <c r="E17" s="56">
        <v>180</v>
      </c>
      <c r="F17" s="56">
        <f t="shared" ref="F17:F19" si="1">D17*E17</f>
        <v>2700</v>
      </c>
      <c r="G17" s="56">
        <f t="shared" ref="G17:G19" si="2">F17*0.17</f>
        <v>459.00000000000006</v>
      </c>
      <c r="H17" s="125">
        <f t="shared" ref="H17:H19" si="3">E17*1.17</f>
        <v>210.6</v>
      </c>
      <c r="I17" s="56">
        <f t="shared" ref="I17:I19" si="4">H17*D17</f>
        <v>3159</v>
      </c>
      <c r="J17" s="83"/>
      <c r="N17" s="66"/>
    </row>
    <row r="18" spans="1:18" s="21" customFormat="1" ht="15.75" x14ac:dyDescent="0.25">
      <c r="A18" s="53">
        <v>3</v>
      </c>
      <c r="B18" s="78" t="s">
        <v>1452</v>
      </c>
      <c r="C18" s="53" t="s">
        <v>76</v>
      </c>
      <c r="D18" s="79">
        <v>30</v>
      </c>
      <c r="E18" s="56">
        <v>140</v>
      </c>
      <c r="F18" s="56">
        <f t="shared" si="1"/>
        <v>4200</v>
      </c>
      <c r="G18" s="56">
        <f t="shared" si="2"/>
        <v>714</v>
      </c>
      <c r="H18" s="125">
        <f t="shared" si="3"/>
        <v>163.79999999999998</v>
      </c>
      <c r="I18" s="56">
        <f t="shared" si="4"/>
        <v>4913.9999999999991</v>
      </c>
      <c r="J18" s="83"/>
      <c r="N18" s="66"/>
    </row>
    <row r="19" spans="1:18" s="21" customFormat="1" ht="15.75" x14ac:dyDescent="0.25">
      <c r="A19" s="53">
        <v>4</v>
      </c>
      <c r="B19" s="78" t="s">
        <v>1453</v>
      </c>
      <c r="C19" s="53" t="s">
        <v>76</v>
      </c>
      <c r="D19" s="79">
        <v>40</v>
      </c>
      <c r="E19" s="56">
        <v>190</v>
      </c>
      <c r="F19" s="56">
        <f t="shared" si="1"/>
        <v>7600</v>
      </c>
      <c r="G19" s="56">
        <f t="shared" si="2"/>
        <v>1292</v>
      </c>
      <c r="H19" s="125">
        <f t="shared" si="3"/>
        <v>222.29999999999998</v>
      </c>
      <c r="I19" s="56">
        <f t="shared" si="4"/>
        <v>8892</v>
      </c>
      <c r="J19" s="83"/>
      <c r="N19" s="66"/>
    </row>
    <row r="20" spans="1:18" s="21" customFormat="1" x14ac:dyDescent="0.25">
      <c r="A20" s="53"/>
      <c r="B20" s="47"/>
      <c r="C20" s="53"/>
      <c r="D20" s="79"/>
      <c r="E20" s="56"/>
      <c r="F20" s="56"/>
      <c r="G20" s="56"/>
      <c r="H20" s="57"/>
      <c r="I20" s="56"/>
      <c r="J20" s="58"/>
      <c r="N20" s="66"/>
    </row>
    <row r="21" spans="1:18" ht="15.75" thickBot="1" x14ac:dyDescent="0.3">
      <c r="A21" s="33"/>
      <c r="B21" s="34" t="s">
        <v>24</v>
      </c>
      <c r="C21" s="35"/>
      <c r="D21" s="62">
        <f>SUM(D16:D20)</f>
        <v>91</v>
      </c>
      <c r="E21" s="35"/>
      <c r="F21" s="62">
        <f>SUM(F16:F20)</f>
        <v>16420</v>
      </c>
      <c r="G21" s="62">
        <f>SUM(G16:G20)</f>
        <v>2791.4</v>
      </c>
      <c r="H21" s="35"/>
      <c r="I21" s="62">
        <f>SUM(I16:I20)</f>
        <v>19211.399999999998</v>
      </c>
      <c r="J21" s="37"/>
    </row>
    <row r="22" spans="1:18" ht="15.75" thickTop="1" x14ac:dyDescent="0.25">
      <c r="A22" s="33"/>
      <c r="B22" s="34" t="s">
        <v>1454</v>
      </c>
      <c r="C22" s="35"/>
      <c r="D22" s="35"/>
      <c r="E22" s="35"/>
      <c r="F22" s="35"/>
      <c r="G22" s="35"/>
      <c r="H22" s="35"/>
      <c r="I22" s="35"/>
      <c r="J22" s="37"/>
    </row>
    <row r="23" spans="1:18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  <c r="M23" s="64"/>
      <c r="O23" s="65"/>
      <c r="P23" s="64"/>
      <c r="Q23" s="64"/>
      <c r="R23" s="64"/>
    </row>
    <row r="24" spans="1:18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  <c r="P24" s="64"/>
      <c r="R24" s="65"/>
    </row>
    <row r="25" spans="1:18" x14ac:dyDescent="0.25">
      <c r="B25" t="s">
        <v>634</v>
      </c>
    </row>
    <row r="28" spans="1:18" x14ac:dyDescent="0.25">
      <c r="B28" t="s">
        <v>28</v>
      </c>
      <c r="H28" t="s">
        <v>28</v>
      </c>
    </row>
    <row r="29" spans="1:18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42789451-FF96-4FFC-95F3-B5DB7C6E5237}"/>
  </hyperlinks>
  <pageMargins left="0.2" right="0.1" top="0.25" bottom="0.25" header="0.3" footer="0.3"/>
  <pageSetup paperSize="9" orientation="portrait" r:id="rId2"/>
  <drawing r:id="rId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B6F7D-295C-47D8-A34D-1632F2CF100E}">
  <dimension ref="A1:R26"/>
  <sheetViews>
    <sheetView workbookViewId="0">
      <selection activeCell="B1" sqref="B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1421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1444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1445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1446</v>
      </c>
      <c r="C16" s="53" t="s">
        <v>23</v>
      </c>
      <c r="D16" s="79">
        <v>1</v>
      </c>
      <c r="E16" s="56">
        <v>650</v>
      </c>
      <c r="F16" s="56">
        <f>D16*E16</f>
        <v>650</v>
      </c>
      <c r="G16" s="56">
        <f>F16*0.17</f>
        <v>110.50000000000001</v>
      </c>
      <c r="H16" s="125">
        <f>E16*1.17</f>
        <v>760.5</v>
      </c>
      <c r="I16" s="56">
        <f t="shared" ref="I16" si="0">H16*D16</f>
        <v>760.5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1</v>
      </c>
      <c r="E18" s="35"/>
      <c r="F18" s="62">
        <f>SUM(F16:F17)</f>
        <v>650</v>
      </c>
      <c r="G18" s="62">
        <f>SUM(G16:G17)</f>
        <v>110.50000000000001</v>
      </c>
      <c r="H18" s="35"/>
      <c r="I18" s="62">
        <f>SUM(I16:I17)</f>
        <v>760.5</v>
      </c>
      <c r="J18" s="37"/>
    </row>
    <row r="19" spans="1:18" ht="15.75" thickTop="1" x14ac:dyDescent="0.25">
      <c r="A19" s="33"/>
      <c r="B19" s="34" t="s">
        <v>1447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389B633D-B46A-4866-A52E-0F1359ED6D18}"/>
  </hyperlinks>
  <pageMargins left="0.2" right="0.1" top="0.25" bottom="0.25" header="0.3" footer="0.3"/>
  <pageSetup paperSize="9" orientation="portrait" r:id="rId2"/>
  <drawing r:id="rId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A3DE1-4090-40E7-8DD7-31DAA7F58343}">
  <dimension ref="A1:R27"/>
  <sheetViews>
    <sheetView workbookViewId="0">
      <selection activeCell="E12" sqref="E1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1421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1439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1440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1441</v>
      </c>
      <c r="C16" s="53" t="s">
        <v>23</v>
      </c>
      <c r="D16" s="79">
        <v>1</v>
      </c>
      <c r="E16" s="56">
        <v>96</v>
      </c>
      <c r="F16" s="56">
        <f>D16*E16</f>
        <v>96</v>
      </c>
      <c r="G16" s="56">
        <f>F16*0.17</f>
        <v>16.32</v>
      </c>
      <c r="H16" s="125">
        <f>E16*1.17</f>
        <v>112.32</v>
      </c>
      <c r="I16" s="56">
        <f t="shared" ref="I16:I17" si="0">H16*D16</f>
        <v>112.32</v>
      </c>
      <c r="J16" s="83"/>
      <c r="N16" s="66"/>
    </row>
    <row r="17" spans="1:18" s="21" customFormat="1" ht="15.75" x14ac:dyDescent="0.25">
      <c r="A17" s="53">
        <v>2</v>
      </c>
      <c r="B17" s="78" t="s">
        <v>1442</v>
      </c>
      <c r="C17" s="53" t="s">
        <v>23</v>
      </c>
      <c r="D17" s="79">
        <v>1</v>
      </c>
      <c r="E17" s="56">
        <v>250</v>
      </c>
      <c r="F17" s="56">
        <f t="shared" ref="F17" si="1">D17*E17</f>
        <v>250</v>
      </c>
      <c r="G17" s="56">
        <f t="shared" ref="G17" si="2">F17*0.17</f>
        <v>42.5</v>
      </c>
      <c r="H17" s="125">
        <f t="shared" ref="H17" si="3">E17*1.17</f>
        <v>292.5</v>
      </c>
      <c r="I17" s="56">
        <f t="shared" si="0"/>
        <v>292.5</v>
      </c>
      <c r="J17" s="83"/>
      <c r="N17" s="66"/>
    </row>
    <row r="18" spans="1:18" s="21" customFormat="1" x14ac:dyDescent="0.25">
      <c r="A18" s="53"/>
      <c r="B18" s="47"/>
      <c r="C18" s="53"/>
      <c r="D18" s="79"/>
      <c r="E18" s="56"/>
      <c r="F18" s="56"/>
      <c r="G18" s="56"/>
      <c r="H18" s="57"/>
      <c r="I18" s="56"/>
      <c r="J18" s="58"/>
      <c r="N18" s="66"/>
    </row>
    <row r="19" spans="1:18" ht="15.75" thickBot="1" x14ac:dyDescent="0.3">
      <c r="A19" s="33"/>
      <c r="B19" s="34" t="s">
        <v>24</v>
      </c>
      <c r="C19" s="35"/>
      <c r="D19" s="62">
        <f>SUM(D16:D18)</f>
        <v>2</v>
      </c>
      <c r="E19" s="35"/>
      <c r="F19" s="62">
        <f>SUM(F16:F18)</f>
        <v>346</v>
      </c>
      <c r="G19" s="62">
        <f>SUM(G16:G18)</f>
        <v>58.82</v>
      </c>
      <c r="H19" s="35"/>
      <c r="I19" s="62">
        <f>SUM(I16:I18)</f>
        <v>404.82</v>
      </c>
      <c r="J19" s="37"/>
    </row>
    <row r="20" spans="1:18" ht="15.75" thickTop="1" x14ac:dyDescent="0.25">
      <c r="A20" s="33"/>
      <c r="B20" s="34" t="s">
        <v>1443</v>
      </c>
      <c r="C20" s="35"/>
      <c r="D20" s="35"/>
      <c r="E20" s="35"/>
      <c r="F20" s="35"/>
      <c r="G20" s="35"/>
      <c r="H20" s="35"/>
      <c r="I20" s="35"/>
      <c r="J20" s="37"/>
    </row>
    <row r="21" spans="1:18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  <c r="M21" s="64"/>
      <c r="O21" s="65"/>
      <c r="P21" s="64"/>
      <c r="Q21" s="64"/>
      <c r="R21" s="64"/>
    </row>
    <row r="22" spans="1:18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  <c r="P22" s="64"/>
      <c r="R22" s="65"/>
    </row>
    <row r="23" spans="1:18" x14ac:dyDescent="0.25">
      <c r="B23" t="s">
        <v>634</v>
      </c>
    </row>
    <row r="26" spans="1:18" x14ac:dyDescent="0.25">
      <c r="B26" t="s">
        <v>28</v>
      </c>
      <c r="H26" t="s">
        <v>28</v>
      </c>
    </row>
    <row r="27" spans="1:18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0B04EAE2-1D61-49F4-8A7E-F4741BB26BEF}"/>
  </hyperlinks>
  <pageMargins left="0.2" right="0.1" top="0.25" bottom="0.25" header="0.3" footer="0.3"/>
  <pageSetup paperSize="9" orientation="portrait" r:id="rId2"/>
  <drawing r:id="rId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675DD-1080-4170-BD56-AE6795A94261}">
  <dimension ref="A1:R38"/>
  <sheetViews>
    <sheetView workbookViewId="0">
      <selection activeCell="F3" sqref="F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1421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1426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1427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1428</v>
      </c>
      <c r="C16" s="53" t="s">
        <v>23</v>
      </c>
      <c r="D16" s="79">
        <v>10</v>
      </c>
      <c r="E16" s="56">
        <v>25</v>
      </c>
      <c r="F16" s="56">
        <f>D16*E16</f>
        <v>250</v>
      </c>
      <c r="G16" s="56">
        <f>F16*0.17</f>
        <v>42.5</v>
      </c>
      <c r="H16" s="125">
        <f>E16*1.17</f>
        <v>29.25</v>
      </c>
      <c r="I16" s="56">
        <f t="shared" ref="I16:I20" si="0">H16*D16</f>
        <v>292.5</v>
      </c>
      <c r="J16" s="83"/>
      <c r="N16" s="66"/>
    </row>
    <row r="17" spans="1:18" s="21" customFormat="1" ht="15.75" x14ac:dyDescent="0.25">
      <c r="A17" s="53">
        <f>A16+1</f>
        <v>2</v>
      </c>
      <c r="B17" s="78" t="s">
        <v>1429</v>
      </c>
      <c r="C17" s="53" t="s">
        <v>23</v>
      </c>
      <c r="D17" s="79">
        <v>10</v>
      </c>
      <c r="E17" s="56">
        <v>25</v>
      </c>
      <c r="F17" s="56">
        <f t="shared" ref="F17:F24" si="1">D17*E17</f>
        <v>250</v>
      </c>
      <c r="G17" s="56">
        <f t="shared" ref="G17:G22" si="2">F17*0.17</f>
        <v>42.5</v>
      </c>
      <c r="H17" s="125">
        <f t="shared" ref="H17:H22" si="3">E17*1.17</f>
        <v>29.25</v>
      </c>
      <c r="I17" s="56">
        <f t="shared" si="0"/>
        <v>292.5</v>
      </c>
      <c r="J17" s="83"/>
      <c r="N17" s="66"/>
    </row>
    <row r="18" spans="1:18" s="21" customFormat="1" ht="15.75" x14ac:dyDescent="0.25">
      <c r="A18" s="53">
        <f t="shared" ref="A18:A28" si="4">A17+1</f>
        <v>3</v>
      </c>
      <c r="B18" s="78" t="s">
        <v>45</v>
      </c>
      <c r="C18" s="53" t="s">
        <v>23</v>
      </c>
      <c r="D18" s="79">
        <v>10</v>
      </c>
      <c r="E18" s="56">
        <v>30</v>
      </c>
      <c r="F18" s="56">
        <f t="shared" si="1"/>
        <v>300</v>
      </c>
      <c r="G18" s="56">
        <f t="shared" si="2"/>
        <v>51.000000000000007</v>
      </c>
      <c r="H18" s="125">
        <f t="shared" si="3"/>
        <v>35.099999999999994</v>
      </c>
      <c r="I18" s="56">
        <f t="shared" si="0"/>
        <v>350.99999999999994</v>
      </c>
      <c r="J18" s="83"/>
      <c r="N18" s="66"/>
    </row>
    <row r="19" spans="1:18" s="21" customFormat="1" ht="15.75" x14ac:dyDescent="0.25">
      <c r="A19" s="53">
        <f t="shared" si="4"/>
        <v>4</v>
      </c>
      <c r="B19" s="78" t="s">
        <v>1148</v>
      </c>
      <c r="C19" s="53" t="s">
        <v>23</v>
      </c>
      <c r="D19" s="79">
        <v>50</v>
      </c>
      <c r="E19" s="56">
        <v>6.5</v>
      </c>
      <c r="F19" s="56">
        <f t="shared" si="1"/>
        <v>325</v>
      </c>
      <c r="G19" s="56">
        <f>F19*0</f>
        <v>0</v>
      </c>
      <c r="H19" s="125">
        <f>E19*1</f>
        <v>6.5</v>
      </c>
      <c r="I19" s="56">
        <f>H19*D19</f>
        <v>325</v>
      </c>
      <c r="J19" s="83"/>
      <c r="N19" s="66"/>
    </row>
    <row r="20" spans="1:18" s="21" customFormat="1" ht="15.75" x14ac:dyDescent="0.25">
      <c r="A20" s="53">
        <f t="shared" si="4"/>
        <v>5</v>
      </c>
      <c r="B20" s="78" t="s">
        <v>1430</v>
      </c>
      <c r="C20" s="53" t="s">
        <v>23</v>
      </c>
      <c r="D20" s="79">
        <v>3</v>
      </c>
      <c r="E20" s="56">
        <v>250</v>
      </c>
      <c r="F20" s="56">
        <f t="shared" si="1"/>
        <v>750</v>
      </c>
      <c r="G20" s="56">
        <f t="shared" si="2"/>
        <v>127.50000000000001</v>
      </c>
      <c r="H20" s="125">
        <f t="shared" si="3"/>
        <v>292.5</v>
      </c>
      <c r="I20" s="56">
        <f t="shared" si="0"/>
        <v>877.5</v>
      </c>
      <c r="J20" s="83"/>
      <c r="N20" s="66"/>
    </row>
    <row r="21" spans="1:18" s="21" customFormat="1" ht="15.75" x14ac:dyDescent="0.25">
      <c r="A21" s="53">
        <f t="shared" si="4"/>
        <v>6</v>
      </c>
      <c r="B21" s="78" t="s">
        <v>1431</v>
      </c>
      <c r="C21" s="53" t="s">
        <v>23</v>
      </c>
      <c r="D21" s="79">
        <v>3</v>
      </c>
      <c r="E21" s="56">
        <v>250</v>
      </c>
      <c r="F21" s="56">
        <f t="shared" si="1"/>
        <v>750</v>
      </c>
      <c r="G21" s="56">
        <f t="shared" si="2"/>
        <v>127.50000000000001</v>
      </c>
      <c r="H21" s="125">
        <f t="shared" si="3"/>
        <v>292.5</v>
      </c>
      <c r="I21" s="56">
        <f t="shared" ref="I21:I24" si="5">H21*D21</f>
        <v>877.5</v>
      </c>
      <c r="J21" s="83"/>
      <c r="N21" s="66"/>
    </row>
    <row r="22" spans="1:18" s="21" customFormat="1" ht="15.75" x14ac:dyDescent="0.25">
      <c r="A22" s="53">
        <f t="shared" si="4"/>
        <v>7</v>
      </c>
      <c r="B22" s="78" t="s">
        <v>1432</v>
      </c>
      <c r="C22" s="53" t="s">
        <v>23</v>
      </c>
      <c r="D22" s="79">
        <v>50</v>
      </c>
      <c r="E22" s="56">
        <v>24</v>
      </c>
      <c r="F22" s="56">
        <f t="shared" si="1"/>
        <v>1200</v>
      </c>
      <c r="G22" s="56">
        <f t="shared" si="2"/>
        <v>204.00000000000003</v>
      </c>
      <c r="H22" s="125">
        <f t="shared" si="3"/>
        <v>28.08</v>
      </c>
      <c r="I22" s="56">
        <f t="shared" si="5"/>
        <v>1404</v>
      </c>
      <c r="J22" s="83"/>
      <c r="N22" s="66"/>
    </row>
    <row r="23" spans="1:18" s="21" customFormat="1" ht="15.75" x14ac:dyDescent="0.25">
      <c r="A23" s="53">
        <f t="shared" si="4"/>
        <v>8</v>
      </c>
      <c r="B23" s="78" t="s">
        <v>1433</v>
      </c>
      <c r="C23" s="53" t="s">
        <v>23</v>
      </c>
      <c r="D23" s="79">
        <v>48</v>
      </c>
      <c r="E23" s="56">
        <v>26</v>
      </c>
      <c r="F23" s="56">
        <f t="shared" si="1"/>
        <v>1248</v>
      </c>
      <c r="G23" s="56">
        <f>F23*0</f>
        <v>0</v>
      </c>
      <c r="H23" s="125">
        <f>E23*1</f>
        <v>26</v>
      </c>
      <c r="I23" s="56">
        <f t="shared" si="5"/>
        <v>1248</v>
      </c>
      <c r="J23" s="83"/>
      <c r="N23" s="66"/>
    </row>
    <row r="24" spans="1:18" s="21" customFormat="1" ht="15.75" x14ac:dyDescent="0.25">
      <c r="A24" s="53">
        <f t="shared" si="4"/>
        <v>9</v>
      </c>
      <c r="B24" s="78" t="s">
        <v>1434</v>
      </c>
      <c r="C24" s="53" t="s">
        <v>23</v>
      </c>
      <c r="D24" s="79">
        <v>48</v>
      </c>
      <c r="E24" s="56">
        <v>26</v>
      </c>
      <c r="F24" s="56">
        <f t="shared" si="1"/>
        <v>1248</v>
      </c>
      <c r="G24" s="56">
        <f>F24*0</f>
        <v>0</v>
      </c>
      <c r="H24" s="125">
        <f>E24*1</f>
        <v>26</v>
      </c>
      <c r="I24" s="56">
        <f t="shared" si="5"/>
        <v>1248</v>
      </c>
      <c r="J24" s="83"/>
      <c r="N24" s="66"/>
    </row>
    <row r="25" spans="1:18" s="21" customFormat="1" ht="15.75" x14ac:dyDescent="0.25">
      <c r="A25" s="53">
        <f t="shared" si="4"/>
        <v>10</v>
      </c>
      <c r="B25" s="78" t="s">
        <v>1435</v>
      </c>
      <c r="C25" s="53" t="s">
        <v>23</v>
      </c>
      <c r="D25" s="79">
        <v>6</v>
      </c>
      <c r="E25" s="56">
        <v>250</v>
      </c>
      <c r="F25" s="56">
        <f t="shared" ref="F25:F28" si="6">D25*E25</f>
        <v>1500</v>
      </c>
      <c r="G25" s="56">
        <f t="shared" ref="G25:G28" si="7">F25*0.17</f>
        <v>255.00000000000003</v>
      </c>
      <c r="H25" s="125">
        <f t="shared" ref="H25:H28" si="8">E25*1.17</f>
        <v>292.5</v>
      </c>
      <c r="I25" s="56">
        <f t="shared" ref="I25:I28" si="9">H25*D25</f>
        <v>1755</v>
      </c>
      <c r="J25" s="83"/>
      <c r="N25" s="66"/>
    </row>
    <row r="26" spans="1:18" s="21" customFormat="1" ht="15.75" x14ac:dyDescent="0.25">
      <c r="A26" s="53">
        <f t="shared" si="4"/>
        <v>11</v>
      </c>
      <c r="B26" s="78" t="s">
        <v>1198</v>
      </c>
      <c r="C26" s="53" t="s">
        <v>23</v>
      </c>
      <c r="D26" s="79">
        <v>50</v>
      </c>
      <c r="E26" s="56">
        <v>30</v>
      </c>
      <c r="F26" s="56">
        <f t="shared" si="6"/>
        <v>1500</v>
      </c>
      <c r="G26" s="56">
        <f t="shared" si="7"/>
        <v>255.00000000000003</v>
      </c>
      <c r="H26" s="125">
        <f t="shared" si="8"/>
        <v>35.099999999999994</v>
      </c>
      <c r="I26" s="56">
        <f t="shared" si="9"/>
        <v>1754.9999999999998</v>
      </c>
      <c r="J26" s="83"/>
      <c r="N26" s="66"/>
    </row>
    <row r="27" spans="1:18" s="21" customFormat="1" ht="15.75" x14ac:dyDescent="0.25">
      <c r="A27" s="53">
        <f t="shared" si="4"/>
        <v>12</v>
      </c>
      <c r="B27" s="78" t="s">
        <v>1436</v>
      </c>
      <c r="C27" s="53" t="s">
        <v>23</v>
      </c>
      <c r="D27" s="79">
        <v>50</v>
      </c>
      <c r="E27" s="56">
        <v>65</v>
      </c>
      <c r="F27" s="56">
        <f t="shared" si="6"/>
        <v>3250</v>
      </c>
      <c r="G27" s="56">
        <f t="shared" si="7"/>
        <v>552.5</v>
      </c>
      <c r="H27" s="125">
        <f t="shared" si="8"/>
        <v>76.05</v>
      </c>
      <c r="I27" s="56">
        <f t="shared" si="9"/>
        <v>3802.5</v>
      </c>
      <c r="J27" s="83"/>
      <c r="N27" s="66"/>
    </row>
    <row r="28" spans="1:18" s="21" customFormat="1" ht="15.75" x14ac:dyDescent="0.25">
      <c r="A28" s="53">
        <f t="shared" si="4"/>
        <v>13</v>
      </c>
      <c r="B28" s="78" t="s">
        <v>1437</v>
      </c>
      <c r="C28" s="53" t="s">
        <v>23</v>
      </c>
      <c r="D28" s="79">
        <v>100</v>
      </c>
      <c r="E28" s="56">
        <v>90</v>
      </c>
      <c r="F28" s="56">
        <f t="shared" si="6"/>
        <v>9000</v>
      </c>
      <c r="G28" s="56">
        <f t="shared" si="7"/>
        <v>1530</v>
      </c>
      <c r="H28" s="125">
        <f t="shared" si="8"/>
        <v>105.3</v>
      </c>
      <c r="I28" s="56">
        <f t="shared" si="9"/>
        <v>10530</v>
      </c>
      <c r="J28" s="83"/>
      <c r="N28" s="66"/>
    </row>
    <row r="29" spans="1:18" s="21" customFormat="1" x14ac:dyDescent="0.25">
      <c r="A29" s="53"/>
      <c r="B29" s="47"/>
      <c r="C29" s="53"/>
      <c r="D29" s="79"/>
      <c r="E29" s="56"/>
      <c r="F29" s="56"/>
      <c r="G29" s="56"/>
      <c r="H29" s="57"/>
      <c r="I29" s="56"/>
      <c r="J29" s="58"/>
      <c r="N29" s="66"/>
    </row>
    <row r="30" spans="1:18" ht="15.75" thickBot="1" x14ac:dyDescent="0.3">
      <c r="A30" s="33"/>
      <c r="B30" s="34" t="s">
        <v>24</v>
      </c>
      <c r="C30" s="35"/>
      <c r="D30" s="62">
        <f>SUM(D16:D29)</f>
        <v>438</v>
      </c>
      <c r="E30" s="35"/>
      <c r="F30" s="62">
        <f>SUM(F16:F29)</f>
        <v>21571</v>
      </c>
      <c r="G30" s="62">
        <f>SUM(G16:G29)</f>
        <v>3187.5</v>
      </c>
      <c r="H30" s="35"/>
      <c r="I30" s="62">
        <f>SUM(I16:I29)</f>
        <v>24758.5</v>
      </c>
      <c r="J30" s="37"/>
    </row>
    <row r="31" spans="1:18" ht="15.75" thickTop="1" x14ac:dyDescent="0.25">
      <c r="A31" s="33"/>
      <c r="B31" s="34" t="s">
        <v>1438</v>
      </c>
      <c r="C31" s="35"/>
      <c r="D31" s="35"/>
      <c r="E31" s="35"/>
      <c r="F31" s="35"/>
      <c r="G31" s="35"/>
      <c r="H31" s="35"/>
      <c r="I31" s="35"/>
      <c r="J31" s="37"/>
    </row>
    <row r="32" spans="1:18" x14ac:dyDescent="0.25">
      <c r="A32" s="33"/>
      <c r="B32" s="38" t="s">
        <v>25</v>
      </c>
      <c r="C32" s="35"/>
      <c r="D32" s="35"/>
      <c r="E32" s="35"/>
      <c r="F32" s="35"/>
      <c r="G32" s="35"/>
      <c r="H32" s="35"/>
      <c r="I32" s="35"/>
      <c r="J32" s="37"/>
      <c r="M32" s="64"/>
      <c r="O32" s="65"/>
      <c r="P32" s="64"/>
      <c r="Q32" s="64"/>
      <c r="R32" s="64"/>
    </row>
    <row r="33" spans="2:18" ht="30" customHeight="1" x14ac:dyDescent="0.25">
      <c r="B33" s="183" t="s">
        <v>26</v>
      </c>
      <c r="C33" s="183"/>
      <c r="D33" s="183"/>
      <c r="E33" s="183"/>
      <c r="F33" s="183"/>
      <c r="G33" s="183"/>
      <c r="H33" s="183"/>
      <c r="I33" s="183"/>
      <c r="J33" s="183"/>
      <c r="P33" s="64"/>
      <c r="R33" s="65"/>
    </row>
    <row r="34" spans="2:18" x14ac:dyDescent="0.25">
      <c r="B34" t="s">
        <v>634</v>
      </c>
    </row>
    <row r="37" spans="2:18" x14ac:dyDescent="0.25">
      <c r="B37" t="s">
        <v>28</v>
      </c>
      <c r="H37" t="s">
        <v>28</v>
      </c>
    </row>
    <row r="38" spans="2:18" x14ac:dyDescent="0.25">
      <c r="B38" t="s">
        <v>29</v>
      </c>
      <c r="H38" t="s">
        <v>30</v>
      </c>
    </row>
  </sheetData>
  <autoFilter ref="A15:J34" xr:uid="{00000000-0009-0000-0000-000000000000}"/>
  <mergeCells count="5">
    <mergeCell ref="A6:J6"/>
    <mergeCell ref="I7:J7"/>
    <mergeCell ref="I8:J8"/>
    <mergeCell ref="I9:J9"/>
    <mergeCell ref="B33:J33"/>
  </mergeCells>
  <hyperlinks>
    <hyperlink ref="H5" r:id="rId1" xr:uid="{124F3240-921C-4850-8594-7FBC06492196}"/>
  </hyperlinks>
  <pageMargins left="0.2" right="0.1" top="0.25" bottom="0.25" header="0.3" footer="0.3"/>
  <pageSetup paperSize="9" orientation="portrait" r:id="rId2"/>
  <drawing r:id="rId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79ED1-2FEC-48EB-BD94-76B53F89569F}">
  <dimension ref="A1:R27"/>
  <sheetViews>
    <sheetView workbookViewId="0">
      <selection activeCell="A5" sqref="A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1421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1420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1422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1423</v>
      </c>
      <c r="C16" s="53" t="s">
        <v>23</v>
      </c>
      <c r="D16" s="79">
        <v>4</v>
      </c>
      <c r="E16" s="56">
        <v>18</v>
      </c>
      <c r="F16" s="56">
        <f>D16*E16</f>
        <v>72</v>
      </c>
      <c r="G16" s="56">
        <f>F16*0.17</f>
        <v>12.24</v>
      </c>
      <c r="H16" s="125">
        <f>E16*1.17</f>
        <v>21.06</v>
      </c>
      <c r="I16" s="56">
        <f t="shared" ref="I16:I17" si="0">H16*D16</f>
        <v>84.24</v>
      </c>
      <c r="J16" s="83"/>
      <c r="N16" s="66"/>
    </row>
    <row r="17" spans="1:18" s="21" customFormat="1" ht="15.75" x14ac:dyDescent="0.25">
      <c r="A17" s="53">
        <v>2</v>
      </c>
      <c r="B17" s="78" t="s">
        <v>1424</v>
      </c>
      <c r="C17" s="53" t="s">
        <v>23</v>
      </c>
      <c r="D17" s="79">
        <v>4</v>
      </c>
      <c r="E17" s="56">
        <v>180</v>
      </c>
      <c r="F17" s="56">
        <f t="shared" ref="F17" si="1">D17*E17</f>
        <v>720</v>
      </c>
      <c r="G17" s="56">
        <f t="shared" ref="G17" si="2">F17*0.17</f>
        <v>122.4</v>
      </c>
      <c r="H17" s="125">
        <f t="shared" ref="H17" si="3">E17*1.17</f>
        <v>210.6</v>
      </c>
      <c r="I17" s="56">
        <f t="shared" si="0"/>
        <v>842.4</v>
      </c>
      <c r="J17" s="83"/>
      <c r="N17" s="66"/>
    </row>
    <row r="18" spans="1:18" s="21" customFormat="1" x14ac:dyDescent="0.25">
      <c r="A18" s="53"/>
      <c r="B18" s="47"/>
      <c r="C18" s="53"/>
      <c r="D18" s="79"/>
      <c r="E18" s="56"/>
      <c r="F18" s="56"/>
      <c r="G18" s="56"/>
      <c r="H18" s="57"/>
      <c r="I18" s="56"/>
      <c r="J18" s="58"/>
      <c r="N18" s="66"/>
    </row>
    <row r="19" spans="1:18" ht="15.75" thickBot="1" x14ac:dyDescent="0.3">
      <c r="A19" s="33"/>
      <c r="B19" s="34" t="s">
        <v>24</v>
      </c>
      <c r="C19" s="35"/>
      <c r="D19" s="62">
        <f>SUM(D16:D18)</f>
        <v>8</v>
      </c>
      <c r="E19" s="35"/>
      <c r="F19" s="62">
        <f>SUM(F16:F18)</f>
        <v>792</v>
      </c>
      <c r="G19" s="62">
        <f>SUM(G16:G18)</f>
        <v>134.64000000000001</v>
      </c>
      <c r="H19" s="35"/>
      <c r="I19" s="62">
        <f>SUM(I16:I18)</f>
        <v>926.64</v>
      </c>
      <c r="J19" s="37"/>
    </row>
    <row r="20" spans="1:18" ht="15.75" thickTop="1" x14ac:dyDescent="0.25">
      <c r="A20" s="33"/>
      <c r="B20" s="34" t="s">
        <v>1425</v>
      </c>
      <c r="C20" s="35"/>
      <c r="D20" s="35"/>
      <c r="E20" s="35"/>
      <c r="F20" s="35"/>
      <c r="G20" s="35"/>
      <c r="H20" s="35"/>
      <c r="I20" s="35"/>
      <c r="J20" s="37"/>
    </row>
    <row r="21" spans="1:18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  <c r="M21" s="64"/>
      <c r="O21" s="65"/>
      <c r="P21" s="64"/>
      <c r="Q21" s="64"/>
      <c r="R21" s="64"/>
    </row>
    <row r="22" spans="1:18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  <c r="P22" s="64"/>
      <c r="R22" s="65"/>
    </row>
    <row r="23" spans="1:18" x14ac:dyDescent="0.25">
      <c r="B23" t="s">
        <v>634</v>
      </c>
    </row>
    <row r="26" spans="1:18" x14ac:dyDescent="0.25">
      <c r="B26" t="s">
        <v>28</v>
      </c>
      <c r="H26" t="s">
        <v>28</v>
      </c>
    </row>
    <row r="27" spans="1:18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F83FD6C9-C09A-4D29-8469-11EC5BFDD7D8}"/>
  </hyperlinks>
  <pageMargins left="0.2" right="0.1" top="0.25" bottom="0.25" header="0.3" footer="0.3"/>
  <pageSetup paperSize="9" orientation="portrait" r:id="rId2"/>
  <drawing r:id="rId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AA649-B313-422D-800A-1F642AF54473}">
  <dimension ref="A1:J25"/>
  <sheetViews>
    <sheetView workbookViewId="0">
      <selection activeCell="I14" sqref="I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1411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1417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1414</v>
      </c>
      <c r="D10" s="10"/>
      <c r="E10" s="10"/>
      <c r="F10" s="10"/>
    </row>
    <row r="11" spans="1:10" x14ac:dyDescent="0.25">
      <c r="B11" t="s">
        <v>11</v>
      </c>
      <c r="C11" s="10" t="s">
        <v>52</v>
      </c>
      <c r="D11" s="11"/>
      <c r="E11" s="11"/>
      <c r="F11" s="11"/>
    </row>
    <row r="12" spans="1:10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1413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1418</v>
      </c>
      <c r="C16" s="54" t="s">
        <v>23</v>
      </c>
      <c r="D16" s="72">
        <v>1</v>
      </c>
      <c r="E16" s="56">
        <v>14500</v>
      </c>
      <c r="F16" s="56">
        <f t="shared" ref="F16" si="0">D16*E16</f>
        <v>14500</v>
      </c>
      <c r="G16" s="56">
        <f>F16*0.17</f>
        <v>2465</v>
      </c>
      <c r="H16" s="84">
        <f>E16*1.17</f>
        <v>16965</v>
      </c>
      <c r="I16" s="56">
        <f t="shared" ref="I16" si="1">H16*D16</f>
        <v>16965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1</v>
      </c>
      <c r="E17" s="35"/>
      <c r="F17" s="62">
        <f>SUM(F16:F16)</f>
        <v>14500</v>
      </c>
      <c r="G17" s="62">
        <f>SUM(G16:G16)</f>
        <v>2465</v>
      </c>
      <c r="H17" s="35"/>
      <c r="I17" s="62">
        <f>SUM(I16:I16)</f>
        <v>16965</v>
      </c>
      <c r="J17" s="37"/>
    </row>
    <row r="18" spans="1:10" ht="15.75" thickTop="1" x14ac:dyDescent="0.25">
      <c r="A18" s="33"/>
      <c r="B18" s="34" t="s">
        <v>1419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72275C23-04DE-4B63-B39D-6FD816D7D678}"/>
  </hyperlinks>
  <pageMargins left="0.2" right="0.1" top="0.25" bottom="0.25" header="0.3" footer="0.3"/>
  <pageSetup paperSize="9" orientation="portrait" r:id="rId2"/>
  <drawing r:id="rId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44CE0-767F-4F18-ABDA-55E360CDCC85}">
  <dimension ref="A1:J25"/>
  <sheetViews>
    <sheetView workbookViewId="0">
      <selection activeCell="A3" sqref="A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1411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1412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1414</v>
      </c>
      <c r="D10" s="10"/>
      <c r="E10" s="10"/>
      <c r="F10" s="10"/>
    </row>
    <row r="11" spans="1:10" x14ac:dyDescent="0.25">
      <c r="B11" t="s">
        <v>11</v>
      </c>
      <c r="C11" s="10" t="s">
        <v>52</v>
      </c>
      <c r="D11" s="11"/>
      <c r="E11" s="11"/>
      <c r="F11" s="11"/>
    </row>
    <row r="12" spans="1:10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1413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1415</v>
      </c>
      <c r="C16" s="54" t="s">
        <v>269</v>
      </c>
      <c r="D16" s="72">
        <v>20</v>
      </c>
      <c r="E16" s="56">
        <v>590</v>
      </c>
      <c r="F16" s="56">
        <f t="shared" ref="F16" si="0">D16*E16</f>
        <v>11800</v>
      </c>
      <c r="G16" s="56">
        <f>F16*0.17</f>
        <v>2006.0000000000002</v>
      </c>
      <c r="H16" s="84">
        <f>E16*1.17</f>
        <v>690.3</v>
      </c>
      <c r="I16" s="56">
        <f t="shared" ref="I16" si="1">H16*D16</f>
        <v>13806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20</v>
      </c>
      <c r="E17" s="35"/>
      <c r="F17" s="62">
        <f>SUM(F16:F16)</f>
        <v>11800</v>
      </c>
      <c r="G17" s="62">
        <f>SUM(G16:G16)</f>
        <v>2006.0000000000002</v>
      </c>
      <c r="H17" s="35"/>
      <c r="I17" s="62">
        <f>SUM(I16:I16)</f>
        <v>13806</v>
      </c>
      <c r="J17" s="37"/>
    </row>
    <row r="18" spans="1:10" ht="15.75" thickTop="1" x14ac:dyDescent="0.25">
      <c r="A18" s="33"/>
      <c r="B18" s="34" t="s">
        <v>1416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0DFBB2FA-D140-4E3F-A4E7-F8BF8E48374B}"/>
  </hyperlinks>
  <pageMargins left="0.2" right="0.1" top="0.25" bottom="0.25" header="0.3" footer="0.3"/>
  <pageSetup paperSize="9" orientation="portrait" r:id="rId2"/>
  <drawing r:id="rId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09E39-6C82-41BE-831A-B7C56FE01413}">
  <dimension ref="A1:J27"/>
  <sheetViews>
    <sheetView workbookViewId="0">
      <selection activeCell="C14" sqref="C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1399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1408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1409</v>
      </c>
      <c r="J9" s="188"/>
    </row>
    <row r="10" spans="1:10" x14ac:dyDescent="0.25">
      <c r="B10" t="s">
        <v>9</v>
      </c>
      <c r="C10" s="10" t="s">
        <v>1008</v>
      </c>
      <c r="D10" s="10"/>
      <c r="E10" s="10"/>
      <c r="F10" s="10"/>
    </row>
    <row r="11" spans="1:10" x14ac:dyDescent="0.25">
      <c r="B11" t="s">
        <v>11</v>
      </c>
      <c r="C11" s="10" t="s">
        <v>999</v>
      </c>
      <c r="D11" s="11"/>
      <c r="E11" s="11"/>
      <c r="F11" s="11"/>
    </row>
    <row r="12" spans="1:10" x14ac:dyDescent="0.25">
      <c r="A12" s="12"/>
      <c r="B12" s="13"/>
      <c r="C12" s="14" t="s">
        <v>1000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1009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1058</v>
      </c>
      <c r="C16" s="54" t="s">
        <v>23</v>
      </c>
      <c r="D16" s="72">
        <v>5</v>
      </c>
      <c r="E16" s="56">
        <v>7500</v>
      </c>
      <c r="F16" s="56">
        <f t="shared" ref="F16:F18" si="0">D16*E16</f>
        <v>37500</v>
      </c>
      <c r="G16" s="56">
        <f>F16*0.17</f>
        <v>6375.0000000000009</v>
      </c>
      <c r="H16" s="84">
        <f>E16*1.17</f>
        <v>8775</v>
      </c>
      <c r="I16" s="56">
        <f t="shared" ref="I16:I18" si="1">H16*D16</f>
        <v>43875</v>
      </c>
      <c r="J16" s="58"/>
    </row>
    <row r="17" spans="1:10" s="21" customFormat="1" ht="30" x14ac:dyDescent="0.25">
      <c r="A17" s="53">
        <v>2</v>
      </c>
      <c r="B17" s="47" t="s">
        <v>1010</v>
      </c>
      <c r="C17" s="54" t="s">
        <v>23</v>
      </c>
      <c r="D17" s="72">
        <v>5</v>
      </c>
      <c r="E17" s="56">
        <v>3000</v>
      </c>
      <c r="F17" s="56">
        <f t="shared" si="0"/>
        <v>15000</v>
      </c>
      <c r="G17" s="56">
        <f>F17*0.17</f>
        <v>2550</v>
      </c>
      <c r="H17" s="84">
        <f>E17*1.17</f>
        <v>3510</v>
      </c>
      <c r="I17" s="56">
        <f t="shared" si="1"/>
        <v>17550</v>
      </c>
      <c r="J17" s="58"/>
    </row>
    <row r="18" spans="1:10" s="21" customFormat="1" ht="30" x14ac:dyDescent="0.25">
      <c r="A18" s="53">
        <v>3</v>
      </c>
      <c r="B18" s="47" t="s">
        <v>1059</v>
      </c>
      <c r="C18" s="54" t="s">
        <v>23</v>
      </c>
      <c r="D18" s="72">
        <v>1</v>
      </c>
      <c r="E18" s="56">
        <v>2500</v>
      </c>
      <c r="F18" s="56">
        <f t="shared" si="0"/>
        <v>2500</v>
      </c>
      <c r="G18" s="56">
        <f>F18*0.17</f>
        <v>425.00000000000006</v>
      </c>
      <c r="H18" s="84">
        <f>E18*1.17</f>
        <v>2925</v>
      </c>
      <c r="I18" s="56">
        <f t="shared" si="1"/>
        <v>2925</v>
      </c>
      <c r="J18" s="58"/>
    </row>
    <row r="19" spans="1:10" ht="15.75" thickBot="1" x14ac:dyDescent="0.3">
      <c r="A19" s="33"/>
      <c r="B19" s="34" t="s">
        <v>24</v>
      </c>
      <c r="C19" s="35"/>
      <c r="D19" s="62">
        <f>SUM(D16:D18)</f>
        <v>11</v>
      </c>
      <c r="E19" s="35"/>
      <c r="F19" s="62">
        <f>SUM(F16:F18)</f>
        <v>55000</v>
      </c>
      <c r="G19" s="62">
        <f>SUM(G16:G18)</f>
        <v>9350</v>
      </c>
      <c r="H19" s="35"/>
      <c r="I19" s="62">
        <f>SUM(I16:I18)</f>
        <v>64350</v>
      </c>
      <c r="J19" s="37"/>
    </row>
    <row r="20" spans="1:10" ht="15.75" thickTop="1" x14ac:dyDescent="0.25">
      <c r="A20" s="33"/>
      <c r="B20" s="34" t="s">
        <v>1410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634</v>
      </c>
    </row>
    <row r="26" spans="1:10" x14ac:dyDescent="0.25">
      <c r="B26" t="s">
        <v>28</v>
      </c>
      <c r="H26" t="s">
        <v>28</v>
      </c>
    </row>
    <row r="27" spans="1:10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6146011B-0239-483C-A995-0C5D2CF7181A}"/>
  </hyperlinks>
  <pageMargins left="0.2" right="0.1" top="0.25" bottom="0.25" header="0.3" footer="0.3"/>
  <pageSetup paperSize="9"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265E5-6BFC-4D15-9458-9C3178967A7E}">
  <dimension ref="A1:R32"/>
  <sheetViews>
    <sheetView topLeftCell="A7" workbookViewId="0">
      <selection activeCell="F16" sqref="F16:F2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2280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25.5" x14ac:dyDescent="0.25">
      <c r="A16" s="53">
        <v>1</v>
      </c>
      <c r="B16" s="78" t="s">
        <v>1488</v>
      </c>
      <c r="C16" s="53" t="s">
        <v>1505</v>
      </c>
      <c r="D16" s="79">
        <v>1</v>
      </c>
      <c r="E16" s="56">
        <v>25</v>
      </c>
      <c r="F16" s="56">
        <f t="shared" ref="F16:F22" si="0">D16*E16</f>
        <v>25</v>
      </c>
      <c r="G16" s="149">
        <f t="shared" ref="G16:G21" si="1">F16*0</f>
        <v>0</v>
      </c>
      <c r="H16" s="85">
        <f t="shared" ref="H16:H21" si="2">E16*1</f>
        <v>25</v>
      </c>
      <c r="I16" s="56">
        <f t="shared" ref="I16:I22" si="3">H16*D16</f>
        <v>25</v>
      </c>
      <c r="J16" s="83"/>
      <c r="N16" s="66"/>
    </row>
    <row r="17" spans="1:18" s="21" customFormat="1" ht="25.5" x14ac:dyDescent="0.25">
      <c r="A17" s="53">
        <v>2</v>
      </c>
      <c r="B17" s="78" t="s">
        <v>1520</v>
      </c>
      <c r="C17" s="53" t="s">
        <v>1505</v>
      </c>
      <c r="D17" s="79">
        <v>1</v>
      </c>
      <c r="E17" s="56">
        <v>25</v>
      </c>
      <c r="F17" s="56">
        <f t="shared" si="0"/>
        <v>25</v>
      </c>
      <c r="G17" s="149">
        <f t="shared" si="1"/>
        <v>0</v>
      </c>
      <c r="H17" s="85">
        <f t="shared" si="2"/>
        <v>25</v>
      </c>
      <c r="I17" s="56">
        <f t="shared" si="3"/>
        <v>25</v>
      </c>
      <c r="J17" s="83"/>
      <c r="N17" s="66"/>
    </row>
    <row r="18" spans="1:18" s="21" customFormat="1" ht="25.5" x14ac:dyDescent="0.25">
      <c r="A18" s="53">
        <v>3</v>
      </c>
      <c r="B18" s="78" t="s">
        <v>1521</v>
      </c>
      <c r="C18" s="53" t="s">
        <v>1505</v>
      </c>
      <c r="D18" s="79">
        <v>1</v>
      </c>
      <c r="E18" s="56">
        <v>25</v>
      </c>
      <c r="F18" s="56">
        <f t="shared" si="0"/>
        <v>25</v>
      </c>
      <c r="G18" s="149">
        <f t="shared" si="1"/>
        <v>0</v>
      </c>
      <c r="H18" s="85">
        <f t="shared" si="2"/>
        <v>25</v>
      </c>
      <c r="I18" s="56">
        <f t="shared" si="3"/>
        <v>25</v>
      </c>
      <c r="J18" s="83"/>
      <c r="N18" s="66"/>
    </row>
    <row r="19" spans="1:18" s="21" customFormat="1" ht="25.5" x14ac:dyDescent="0.25">
      <c r="A19" s="53">
        <v>4</v>
      </c>
      <c r="B19" s="78" t="s">
        <v>1513</v>
      </c>
      <c r="C19" s="53" t="s">
        <v>1505</v>
      </c>
      <c r="D19" s="79">
        <v>1</v>
      </c>
      <c r="E19" s="56">
        <v>75</v>
      </c>
      <c r="F19" s="56">
        <f t="shared" si="0"/>
        <v>75</v>
      </c>
      <c r="G19" s="149">
        <f t="shared" si="1"/>
        <v>0</v>
      </c>
      <c r="H19" s="85">
        <f t="shared" si="2"/>
        <v>75</v>
      </c>
      <c r="I19" s="56">
        <f t="shared" si="3"/>
        <v>75</v>
      </c>
      <c r="J19" s="83"/>
      <c r="N19" s="66"/>
    </row>
    <row r="20" spans="1:18" s="21" customFormat="1" ht="15.75" x14ac:dyDescent="0.25">
      <c r="A20" s="53">
        <v>5</v>
      </c>
      <c r="B20" s="78" t="s">
        <v>1949</v>
      </c>
      <c r="C20" s="53" t="s">
        <v>76</v>
      </c>
      <c r="D20" s="79">
        <v>5</v>
      </c>
      <c r="E20" s="56">
        <v>75</v>
      </c>
      <c r="F20" s="56">
        <f t="shared" si="0"/>
        <v>375</v>
      </c>
      <c r="G20" s="149">
        <f t="shared" si="1"/>
        <v>0</v>
      </c>
      <c r="H20" s="85">
        <f t="shared" si="2"/>
        <v>75</v>
      </c>
      <c r="I20" s="56">
        <f t="shared" si="3"/>
        <v>375</v>
      </c>
      <c r="J20" s="83"/>
      <c r="N20" s="66"/>
    </row>
    <row r="21" spans="1:18" s="21" customFormat="1" ht="15.75" x14ac:dyDescent="0.25">
      <c r="A21" s="53">
        <v>6</v>
      </c>
      <c r="B21" s="78" t="s">
        <v>2242</v>
      </c>
      <c r="C21" s="53" t="s">
        <v>23</v>
      </c>
      <c r="D21" s="79">
        <v>1</v>
      </c>
      <c r="E21" s="56">
        <v>115</v>
      </c>
      <c r="F21" s="56">
        <f t="shared" si="0"/>
        <v>115</v>
      </c>
      <c r="G21" s="149">
        <f t="shared" si="1"/>
        <v>0</v>
      </c>
      <c r="H21" s="85">
        <f t="shared" si="2"/>
        <v>115</v>
      </c>
      <c r="I21" s="56">
        <f t="shared" si="3"/>
        <v>115</v>
      </c>
      <c r="J21" s="83"/>
      <c r="N21" s="66"/>
    </row>
    <row r="22" spans="1:18" s="21" customFormat="1" ht="15.75" x14ac:dyDescent="0.25">
      <c r="A22" s="53">
        <v>7</v>
      </c>
      <c r="B22" s="78" t="s">
        <v>2246</v>
      </c>
      <c r="C22" s="53" t="s">
        <v>23</v>
      </c>
      <c r="D22" s="79">
        <v>1</v>
      </c>
      <c r="E22" s="56">
        <v>160</v>
      </c>
      <c r="F22" s="56">
        <f t="shared" si="0"/>
        <v>160</v>
      </c>
      <c r="G22" s="149">
        <f t="shared" ref="G22" si="4">F22*0.17</f>
        <v>27.200000000000003</v>
      </c>
      <c r="H22" s="85">
        <f t="shared" ref="H22" si="5">E22*1.17</f>
        <v>187.2</v>
      </c>
      <c r="I22" s="56">
        <f t="shared" si="3"/>
        <v>187.2</v>
      </c>
      <c r="J22" s="83"/>
      <c r="N22" s="66"/>
    </row>
    <row r="23" spans="1:18" s="21" customFormat="1" ht="15.75" x14ac:dyDescent="0.25">
      <c r="A23" s="53"/>
      <c r="B23" s="78"/>
      <c r="C23" s="53"/>
      <c r="D23" s="79"/>
      <c r="E23" s="56"/>
      <c r="F23" s="56"/>
      <c r="G23" s="149"/>
      <c r="H23" s="85"/>
      <c r="I23" s="56"/>
      <c r="J23" s="83"/>
      <c r="N23" s="66"/>
    </row>
    <row r="24" spans="1:18" ht="15.75" thickBot="1" x14ac:dyDescent="0.3">
      <c r="A24" s="33"/>
      <c r="B24" s="34" t="s">
        <v>24</v>
      </c>
      <c r="C24" s="35"/>
      <c r="D24" s="62">
        <f>SUM(D16:D23)</f>
        <v>11</v>
      </c>
      <c r="E24" s="35"/>
      <c r="F24" s="62">
        <f>SUM(F16:F23)</f>
        <v>800</v>
      </c>
      <c r="G24" s="62">
        <f>SUM(G16:G23)</f>
        <v>27.200000000000003</v>
      </c>
      <c r="H24" s="35"/>
      <c r="I24" s="62">
        <f>SUM(I16:I23)</f>
        <v>827.2</v>
      </c>
      <c r="J24" s="37"/>
    </row>
    <row r="25" spans="1:18" ht="15.75" thickTop="1" x14ac:dyDescent="0.25">
      <c r="A25" s="33"/>
      <c r="B25" s="34" t="s">
        <v>2281</v>
      </c>
      <c r="C25" s="35"/>
      <c r="D25" s="35"/>
      <c r="E25" s="35"/>
      <c r="F25" s="35"/>
      <c r="G25" s="35"/>
      <c r="H25" s="35"/>
      <c r="I25" s="35"/>
      <c r="J25" s="37"/>
    </row>
    <row r="26" spans="1:18" x14ac:dyDescent="0.25">
      <c r="A26" s="33"/>
      <c r="B26" s="38" t="s">
        <v>25</v>
      </c>
      <c r="C26" s="35"/>
      <c r="D26" s="35"/>
      <c r="E26" s="35"/>
      <c r="F26" s="35"/>
      <c r="G26" s="35"/>
      <c r="H26" s="35"/>
      <c r="I26" s="35"/>
      <c r="J26" s="37"/>
      <c r="M26" s="64"/>
      <c r="O26" s="65"/>
      <c r="P26" s="64"/>
      <c r="Q26" s="64"/>
      <c r="R26" s="64"/>
    </row>
    <row r="27" spans="1:18" ht="30" customHeight="1" x14ac:dyDescent="0.25">
      <c r="B27" s="183" t="s">
        <v>26</v>
      </c>
      <c r="C27" s="183"/>
      <c r="D27" s="183"/>
      <c r="E27" s="183"/>
      <c r="F27" s="183"/>
      <c r="G27" s="183"/>
      <c r="H27" s="183"/>
      <c r="I27" s="183"/>
      <c r="J27" s="183"/>
      <c r="P27" s="64"/>
      <c r="R27" s="65"/>
    </row>
    <row r="28" spans="1:18" x14ac:dyDescent="0.25">
      <c r="B28" t="s">
        <v>634</v>
      </c>
    </row>
    <row r="31" spans="1:18" x14ac:dyDescent="0.25">
      <c r="B31" t="s">
        <v>28</v>
      </c>
      <c r="H31" t="s">
        <v>28</v>
      </c>
    </row>
    <row r="32" spans="1:18" x14ac:dyDescent="0.25">
      <c r="B32" t="s">
        <v>29</v>
      </c>
      <c r="H32" t="s">
        <v>30</v>
      </c>
    </row>
  </sheetData>
  <autoFilter ref="A15:J28" xr:uid="{00000000-0009-0000-0000-000000000000}"/>
  <mergeCells count="5">
    <mergeCell ref="A6:J6"/>
    <mergeCell ref="I7:J7"/>
    <mergeCell ref="I8:J8"/>
    <mergeCell ref="I9:J9"/>
    <mergeCell ref="B27:J27"/>
  </mergeCells>
  <hyperlinks>
    <hyperlink ref="H5" r:id="rId1" xr:uid="{D619D43A-8A13-4807-9397-B0137B695E50}"/>
  </hyperlinks>
  <pageMargins left="0.2" right="0.1" top="0.25" bottom="0.25" header="0.3" footer="0.3"/>
  <pageSetup paperSize="9" orientation="portrait" r:id="rId2"/>
  <drawing r:id="rId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6AC91-8A5D-4D58-BBB3-05FF37740FA1}">
  <dimension ref="A1:R28"/>
  <sheetViews>
    <sheetView topLeftCell="A6" workbookViewId="0">
      <selection activeCell="B23" sqref="B23:J2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1402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1401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1407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1403</v>
      </c>
      <c r="C16" s="53" t="s">
        <v>23</v>
      </c>
      <c r="D16" s="79">
        <v>6</v>
      </c>
      <c r="E16" s="56">
        <v>22</v>
      </c>
      <c r="F16" s="56">
        <f>D16*E16</f>
        <v>132</v>
      </c>
      <c r="G16" s="56">
        <f>F16*0.17</f>
        <v>22.44</v>
      </c>
      <c r="H16" s="125">
        <f>E16*1.17</f>
        <v>25.74</v>
      </c>
      <c r="I16" s="56">
        <f t="shared" ref="I16" si="0">H16*D16</f>
        <v>154.44</v>
      </c>
      <c r="J16" s="83"/>
      <c r="N16" s="66"/>
    </row>
    <row r="17" spans="1:18" s="21" customFormat="1" ht="15.75" x14ac:dyDescent="0.25">
      <c r="A17" s="53">
        <v>2</v>
      </c>
      <c r="B17" s="78" t="s">
        <v>1404</v>
      </c>
      <c r="C17" s="53" t="s">
        <v>23</v>
      </c>
      <c r="D17" s="79">
        <v>12</v>
      </c>
      <c r="E17" s="56">
        <v>21</v>
      </c>
      <c r="F17" s="56">
        <f t="shared" ref="F17:F18" si="1">D17*E17</f>
        <v>252</v>
      </c>
      <c r="G17" s="56">
        <f t="shared" ref="G17:G18" si="2">F17*0.17</f>
        <v>42.84</v>
      </c>
      <c r="H17" s="125">
        <f t="shared" ref="H17:H18" si="3">E17*1.17</f>
        <v>24.57</v>
      </c>
      <c r="I17" s="56">
        <f t="shared" ref="I17:I18" si="4">H17*D17</f>
        <v>294.84000000000003</v>
      </c>
      <c r="J17" s="83"/>
      <c r="N17" s="66"/>
    </row>
    <row r="18" spans="1:18" s="21" customFormat="1" ht="15.75" x14ac:dyDescent="0.25">
      <c r="A18" s="53">
        <v>3</v>
      </c>
      <c r="B18" s="78" t="s">
        <v>1405</v>
      </c>
      <c r="C18" s="53" t="s">
        <v>23</v>
      </c>
      <c r="D18" s="79">
        <v>1</v>
      </c>
      <c r="E18" s="56">
        <v>650</v>
      </c>
      <c r="F18" s="56">
        <f t="shared" si="1"/>
        <v>650</v>
      </c>
      <c r="G18" s="56">
        <f t="shared" si="2"/>
        <v>110.50000000000001</v>
      </c>
      <c r="H18" s="125">
        <f t="shared" si="3"/>
        <v>760.5</v>
      </c>
      <c r="I18" s="56">
        <f t="shared" si="4"/>
        <v>760.5</v>
      </c>
      <c r="J18" s="83"/>
      <c r="N18" s="66"/>
    </row>
    <row r="19" spans="1:18" s="21" customFormat="1" x14ac:dyDescent="0.25">
      <c r="A19" s="53"/>
      <c r="B19" s="47"/>
      <c r="C19" s="53"/>
      <c r="D19" s="79"/>
      <c r="E19" s="56"/>
      <c r="F19" s="56"/>
      <c r="G19" s="56"/>
      <c r="H19" s="57"/>
      <c r="I19" s="56"/>
      <c r="J19" s="58"/>
      <c r="N19" s="66"/>
    </row>
    <row r="20" spans="1:18" ht="15.75" thickBot="1" x14ac:dyDescent="0.3">
      <c r="A20" s="33"/>
      <c r="B20" s="34" t="s">
        <v>24</v>
      </c>
      <c r="C20" s="35"/>
      <c r="D20" s="62">
        <f>SUM(D16:D19)</f>
        <v>19</v>
      </c>
      <c r="E20" s="35"/>
      <c r="F20" s="62">
        <f>SUM(F16:F19)</f>
        <v>1034</v>
      </c>
      <c r="G20" s="62">
        <f>SUM(G16:G19)</f>
        <v>175.78000000000003</v>
      </c>
      <c r="H20" s="35"/>
      <c r="I20" s="62">
        <f>SUM(I16:I19)</f>
        <v>1209.78</v>
      </c>
      <c r="J20" s="37"/>
    </row>
    <row r="21" spans="1:18" ht="15.75" thickTop="1" x14ac:dyDescent="0.25">
      <c r="A21" s="33"/>
      <c r="B21" s="34" t="s">
        <v>1406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/>
      <c r="O22" s="65"/>
      <c r="P22" s="64"/>
      <c r="Q22" s="64"/>
      <c r="R22" s="64"/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/>
    </row>
    <row r="24" spans="1:18" x14ac:dyDescent="0.25">
      <c r="B24" t="s">
        <v>634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C2FC4755-86AE-4B8C-9EF7-AC38B23D9872}"/>
  </hyperlinks>
  <pageMargins left="0.2" right="0.1" top="0.25" bottom="0.25" header="0.3" footer="0.3"/>
  <pageSetup paperSize="9" orientation="portrait" r:id="rId2"/>
  <drawing r:id="rId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9C9FB-5200-4FAE-8B7B-3BD5ACE16377}">
  <dimension ref="A1:J30"/>
  <sheetViews>
    <sheetView topLeftCell="A8" workbookViewId="0">
      <selection activeCell="F17" sqref="F17:F1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1399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1393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1394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1395</v>
      </c>
      <c r="C16" s="54" t="s">
        <v>23</v>
      </c>
      <c r="D16" s="72">
        <v>50</v>
      </c>
      <c r="E16" s="56">
        <v>120</v>
      </c>
      <c r="F16" s="56">
        <f t="shared" ref="F16:F19" si="0">D16*E16</f>
        <v>6000</v>
      </c>
      <c r="G16" s="56">
        <f>F16*0.17</f>
        <v>1020.0000000000001</v>
      </c>
      <c r="H16" s="84">
        <f>E16*1.17</f>
        <v>140.39999999999998</v>
      </c>
      <c r="I16" s="56">
        <f t="shared" ref="I16:I19" si="1">H16*D16</f>
        <v>7019.9999999999991</v>
      </c>
      <c r="J16" s="58"/>
    </row>
    <row r="17" spans="1:10" s="21" customFormat="1" x14ac:dyDescent="0.25">
      <c r="A17" s="53">
        <v>2</v>
      </c>
      <c r="B17" s="47" t="s">
        <v>1396</v>
      </c>
      <c r="C17" s="54" t="s">
        <v>23</v>
      </c>
      <c r="D17" s="72">
        <v>2000</v>
      </c>
      <c r="E17" s="56">
        <v>10</v>
      </c>
      <c r="F17" s="56">
        <f t="shared" ref="F17:F18" si="2">D17*E17</f>
        <v>20000</v>
      </c>
      <c r="G17" s="56">
        <f>F17*0</f>
        <v>0</v>
      </c>
      <c r="H17" s="84">
        <f>E17*1</f>
        <v>10</v>
      </c>
      <c r="I17" s="56">
        <f t="shared" ref="I17:I18" si="3">H17*D17</f>
        <v>20000</v>
      </c>
      <c r="J17" s="58"/>
    </row>
    <row r="18" spans="1:10" s="21" customFormat="1" x14ac:dyDescent="0.25">
      <c r="A18" s="53">
        <v>3</v>
      </c>
      <c r="B18" s="47" t="s">
        <v>1397</v>
      </c>
      <c r="C18" s="54" t="s">
        <v>23</v>
      </c>
      <c r="D18" s="72">
        <v>500</v>
      </c>
      <c r="E18" s="56">
        <v>35</v>
      </c>
      <c r="F18" s="56">
        <f t="shared" si="2"/>
        <v>17500</v>
      </c>
      <c r="G18" s="56">
        <f>F18*0</f>
        <v>0</v>
      </c>
      <c r="H18" s="84">
        <f>E18*1</f>
        <v>35</v>
      </c>
      <c r="I18" s="56">
        <f t="shared" si="3"/>
        <v>17500</v>
      </c>
      <c r="J18" s="58"/>
    </row>
    <row r="19" spans="1:10" s="21" customFormat="1" x14ac:dyDescent="0.25">
      <c r="A19" s="53">
        <v>4</v>
      </c>
      <c r="B19" s="47" t="s">
        <v>1123</v>
      </c>
      <c r="C19" s="54" t="s">
        <v>23</v>
      </c>
      <c r="D19" s="72">
        <v>10</v>
      </c>
      <c r="E19" s="56">
        <v>1250</v>
      </c>
      <c r="F19" s="56">
        <f t="shared" si="0"/>
        <v>12500</v>
      </c>
      <c r="G19" s="56">
        <f>F19*0.17</f>
        <v>2125</v>
      </c>
      <c r="H19" s="84">
        <f>E19*1.17</f>
        <v>1462.5</v>
      </c>
      <c r="I19" s="56">
        <f t="shared" si="1"/>
        <v>14625</v>
      </c>
      <c r="J19" s="58"/>
    </row>
    <row r="20" spans="1:10" s="21" customFormat="1" x14ac:dyDescent="0.25">
      <c r="A20" s="53">
        <v>5</v>
      </c>
      <c r="B20" s="47" t="s">
        <v>1398</v>
      </c>
      <c r="C20" s="54" t="s">
        <v>23</v>
      </c>
      <c r="D20" s="72">
        <v>500</v>
      </c>
      <c r="E20" s="56">
        <v>110</v>
      </c>
      <c r="F20" s="56">
        <f t="shared" ref="F20" si="4">D20*E20</f>
        <v>55000</v>
      </c>
      <c r="G20" s="56">
        <f>F20*0.17</f>
        <v>9350</v>
      </c>
      <c r="H20" s="84">
        <f>E20*1.17</f>
        <v>128.69999999999999</v>
      </c>
      <c r="I20" s="56">
        <f t="shared" ref="I20" si="5">H20*D20</f>
        <v>64349.999999999993</v>
      </c>
      <c r="J20" s="58"/>
    </row>
    <row r="21" spans="1:10" s="21" customFormat="1" x14ac:dyDescent="0.25">
      <c r="A21" s="53"/>
      <c r="B21" s="47"/>
      <c r="C21" s="54"/>
      <c r="D21" s="72"/>
      <c r="E21" s="56"/>
      <c r="F21" s="56"/>
      <c r="G21" s="56"/>
      <c r="H21" s="84"/>
      <c r="I21" s="56"/>
      <c r="J21" s="58"/>
    </row>
    <row r="22" spans="1:10" ht="15.75" thickBot="1" x14ac:dyDescent="0.3">
      <c r="A22" s="33"/>
      <c r="B22" s="34" t="s">
        <v>24</v>
      </c>
      <c r="C22" s="35"/>
      <c r="D22" s="73">
        <f>SUM(D16:D20)</f>
        <v>3060</v>
      </c>
      <c r="E22" s="35"/>
      <c r="F22" s="73">
        <f>SUM(F16:F20)</f>
        <v>111000</v>
      </c>
      <c r="G22" s="73">
        <f>SUM(G16:G20)</f>
        <v>12495</v>
      </c>
      <c r="H22" s="35"/>
      <c r="I22" s="73">
        <f>SUM(I16:I20)</f>
        <v>123495</v>
      </c>
      <c r="J22" s="37"/>
    </row>
    <row r="23" spans="1:10" ht="15.75" thickTop="1" x14ac:dyDescent="0.25">
      <c r="A23" s="33"/>
      <c r="B23" s="34" t="s">
        <v>1400</v>
      </c>
      <c r="C23" s="35"/>
      <c r="D23" s="35"/>
      <c r="E23" s="35"/>
      <c r="F23" s="35"/>
      <c r="G23" s="35"/>
      <c r="H23" s="35"/>
      <c r="I23" s="35"/>
      <c r="J23" s="37"/>
    </row>
    <row r="24" spans="1:10" x14ac:dyDescent="0.25">
      <c r="A24" s="33"/>
      <c r="B24" s="38" t="s">
        <v>25</v>
      </c>
      <c r="C24" s="35"/>
      <c r="D24" s="35"/>
      <c r="E24" s="35"/>
      <c r="F24" s="35"/>
      <c r="G24" s="35"/>
      <c r="H24" s="35"/>
      <c r="I24" s="35"/>
      <c r="J24" s="37"/>
    </row>
    <row r="25" spans="1:10" ht="30" customHeight="1" x14ac:dyDescent="0.25">
      <c r="B25" s="183" t="s">
        <v>26</v>
      </c>
      <c r="C25" s="183"/>
      <c r="D25" s="183"/>
      <c r="E25" s="183"/>
      <c r="F25" s="183"/>
      <c r="G25" s="183"/>
      <c r="H25" s="183"/>
      <c r="I25" s="183"/>
      <c r="J25" s="183"/>
    </row>
    <row r="26" spans="1:10" x14ac:dyDescent="0.25">
      <c r="B26" t="s">
        <v>634</v>
      </c>
    </row>
    <row r="29" spans="1:10" x14ac:dyDescent="0.25">
      <c r="B29" t="s">
        <v>28</v>
      </c>
      <c r="H29" t="s">
        <v>28</v>
      </c>
    </row>
    <row r="30" spans="1:10" x14ac:dyDescent="0.25">
      <c r="B30" t="s">
        <v>29</v>
      </c>
      <c r="H30" t="s">
        <v>30</v>
      </c>
    </row>
  </sheetData>
  <autoFilter ref="A15:J26" xr:uid="{00000000-0009-0000-0000-000000000000}"/>
  <mergeCells count="5">
    <mergeCell ref="A6:J6"/>
    <mergeCell ref="I7:J7"/>
    <mergeCell ref="I8:J8"/>
    <mergeCell ref="I9:J9"/>
    <mergeCell ref="B25:J25"/>
  </mergeCells>
  <hyperlinks>
    <hyperlink ref="H5" r:id="rId1" xr:uid="{40A1AB42-753B-482A-825D-AB100C4086EB}"/>
  </hyperlinks>
  <pageMargins left="0.2" right="0.1" top="0.25" bottom="0.25" header="0.3" footer="0.3"/>
  <pageSetup paperSize="9" orientation="portrait" r:id="rId2"/>
  <drawing r:id="rId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64663-A969-45ED-8283-8D50C853BC39}">
  <dimension ref="A1:R26"/>
  <sheetViews>
    <sheetView workbookViewId="0">
      <selection activeCell="A15" sqref="A1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1376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1390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1391</v>
      </c>
      <c r="C16" s="53" t="s">
        <v>23</v>
      </c>
      <c r="D16" s="79">
        <v>2</v>
      </c>
      <c r="E16" s="56">
        <v>180</v>
      </c>
      <c r="F16" s="56">
        <f>D16*E16</f>
        <v>360</v>
      </c>
      <c r="G16" s="56">
        <f>F16*0.17</f>
        <v>61.2</v>
      </c>
      <c r="H16" s="125">
        <f>E16*1.17</f>
        <v>210.6</v>
      </c>
      <c r="I16" s="56">
        <f t="shared" ref="I16" si="0">H16*D16</f>
        <v>421.2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2</v>
      </c>
      <c r="E18" s="35"/>
      <c r="F18" s="62">
        <f>SUM(F16:F17)</f>
        <v>360</v>
      </c>
      <c r="G18" s="62">
        <f>SUM(G16:G17)</f>
        <v>61.2</v>
      </c>
      <c r="H18" s="35"/>
      <c r="I18" s="62">
        <f>SUM(I16:I17)</f>
        <v>421.2</v>
      </c>
      <c r="J18" s="37"/>
    </row>
    <row r="19" spans="1:18" ht="15.75" thickTop="1" x14ac:dyDescent="0.25">
      <c r="A19" s="33"/>
      <c r="B19" s="34" t="s">
        <v>1392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C95F4767-9581-4F62-A202-E5C17D1FA87D}"/>
  </hyperlinks>
  <pageMargins left="0.2" right="0.1" top="0.25" bottom="0.25" header="0.3" footer="0.3"/>
  <pageSetup paperSize="9" orientation="portrait" r:id="rId2"/>
  <drawing r:id="rId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A1DCC-077D-475C-8ADF-4B1A5EC06088}">
  <dimension ref="A1:R26"/>
  <sheetViews>
    <sheetView workbookViewId="0">
      <selection activeCell="A17" sqref="A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1376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1387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1388</v>
      </c>
      <c r="C16" s="53" t="s">
        <v>23</v>
      </c>
      <c r="D16" s="79">
        <v>1</v>
      </c>
      <c r="E16" s="56">
        <v>650</v>
      </c>
      <c r="F16" s="56">
        <f>D16*E16</f>
        <v>650</v>
      </c>
      <c r="G16" s="56">
        <f>F16*0.17</f>
        <v>110.50000000000001</v>
      </c>
      <c r="H16" s="125">
        <f>E16*1.17</f>
        <v>760.5</v>
      </c>
      <c r="I16" s="56">
        <f t="shared" ref="I16" si="0">H16*D16</f>
        <v>760.5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1</v>
      </c>
      <c r="E18" s="35"/>
      <c r="F18" s="62">
        <f>SUM(F16:F17)</f>
        <v>650</v>
      </c>
      <c r="G18" s="62">
        <f>SUM(G16:G17)</f>
        <v>110.50000000000001</v>
      </c>
      <c r="H18" s="35"/>
      <c r="I18" s="62">
        <f>SUM(I16:I17)</f>
        <v>760.5</v>
      </c>
      <c r="J18" s="37"/>
    </row>
    <row r="19" spans="1:18" ht="15.75" thickTop="1" x14ac:dyDescent="0.25">
      <c r="A19" s="33"/>
      <c r="B19" s="34" t="s">
        <v>1389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53B32BCC-C094-4399-90DA-4279EB9C23A1}"/>
  </hyperlinks>
  <pageMargins left="0.2" right="0.1" top="0.25" bottom="0.25" header="0.3" footer="0.3"/>
  <pageSetup paperSize="9" orientation="portrait" r:id="rId2"/>
  <drawing r:id="rId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75EC1-AA47-4307-A758-336F6D7FF779}">
  <dimension ref="A1:R25"/>
  <sheetViews>
    <sheetView topLeftCell="A2" workbookViewId="0">
      <selection activeCell="B20" sqref="B20:J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1384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1377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601</v>
      </c>
      <c r="D10" s="10"/>
      <c r="E10" s="10"/>
      <c r="F10" s="10"/>
    </row>
    <row r="11" spans="1:14" x14ac:dyDescent="0.25">
      <c r="B11" t="s">
        <v>11</v>
      </c>
      <c r="C11" s="10" t="s">
        <v>875</v>
      </c>
      <c r="D11" s="11"/>
      <c r="E11" s="11"/>
      <c r="F11" s="11"/>
    </row>
    <row r="12" spans="1:14" x14ac:dyDescent="0.25">
      <c r="A12" s="12"/>
      <c r="B12" s="13"/>
      <c r="C12" s="14" t="s">
        <v>1095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4" s="21" customFormat="1" ht="15.75" x14ac:dyDescent="0.25">
      <c r="A16" s="53">
        <v>1</v>
      </c>
      <c r="B16" s="78" t="s">
        <v>1385</v>
      </c>
      <c r="C16" s="53" t="s">
        <v>23</v>
      </c>
      <c r="D16" s="53">
        <v>150</v>
      </c>
      <c r="E16" s="56">
        <v>550</v>
      </c>
      <c r="F16" s="56">
        <f>D16*E16</f>
        <v>82500</v>
      </c>
      <c r="G16" s="56">
        <f>F16*0.17</f>
        <v>14025.000000000002</v>
      </c>
      <c r="H16" s="74">
        <f>E16*1.17</f>
        <v>643.5</v>
      </c>
      <c r="I16" s="56">
        <f>H16*D16</f>
        <v>96525</v>
      </c>
      <c r="J16" s="83"/>
      <c r="N16" s="66"/>
    </row>
    <row r="17" spans="1:18" ht="15.75" thickBot="1" x14ac:dyDescent="0.3">
      <c r="A17" s="33"/>
      <c r="B17" s="34" t="s">
        <v>24</v>
      </c>
      <c r="C17" s="35"/>
      <c r="D17" s="62">
        <f>SUM(D16:D16)</f>
        <v>150</v>
      </c>
      <c r="E17" s="35"/>
      <c r="F17" s="62">
        <f>SUM(F16:F16)</f>
        <v>82500</v>
      </c>
      <c r="G17" s="62">
        <f>SUM(G16:G16)</f>
        <v>14025.000000000002</v>
      </c>
      <c r="H17" s="35"/>
      <c r="I17" s="62">
        <f>SUM(I16:I16)</f>
        <v>96525</v>
      </c>
      <c r="J17" s="37"/>
      <c r="M17" t="e">
        <f>#REF!/117*100</f>
        <v>#REF!</v>
      </c>
      <c r="O17" t="e">
        <f>M17*1.1</f>
        <v>#REF!</v>
      </c>
    </row>
    <row r="18" spans="1:18" ht="15.75" thickTop="1" x14ac:dyDescent="0.25">
      <c r="A18" s="33"/>
      <c r="B18" s="34" t="s">
        <v>1386</v>
      </c>
      <c r="C18" s="35"/>
      <c r="D18" s="35"/>
      <c r="E18" s="35"/>
      <c r="F18" s="35"/>
      <c r="G18" s="35"/>
      <c r="H18" s="35"/>
      <c r="I18" s="35"/>
      <c r="J18" s="37"/>
    </row>
    <row r="19" spans="1:18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  <c r="M19" s="64" t="e">
        <f>M17*#REF!</f>
        <v>#REF!</v>
      </c>
      <c r="O19" s="65" t="e">
        <f>#REF!</f>
        <v>#REF!</v>
      </c>
      <c r="P19" s="64" t="e">
        <f>O19-M19</f>
        <v>#REF!</v>
      </c>
      <c r="Q19" s="64" t="e">
        <f>#REF!*0.045</f>
        <v>#REF!</v>
      </c>
      <c r="R19" s="64" t="e">
        <f>P19-Q19</f>
        <v>#REF!</v>
      </c>
    </row>
    <row r="20" spans="1:18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  <c r="P20" s="64"/>
      <c r="R20" s="65" t="e">
        <f>#REF!-#REF!</f>
        <v>#REF!</v>
      </c>
    </row>
    <row r="21" spans="1:18" x14ac:dyDescent="0.25">
      <c r="B21" t="s">
        <v>27</v>
      </c>
    </row>
    <row r="24" spans="1:18" x14ac:dyDescent="0.25">
      <c r="B24" t="s">
        <v>28</v>
      </c>
      <c r="H24" t="s">
        <v>28</v>
      </c>
    </row>
    <row r="25" spans="1:18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03135EB1-4475-4165-8A3D-8F2FF543CA07}"/>
  </hyperlinks>
  <pageMargins left="0.2" right="0.1" top="0.25" bottom="0.25" header="0.3" footer="0.3"/>
  <pageSetup paperSize="9" orientation="portrait" r:id="rId2"/>
  <drawing r:id="rId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96FC0-167C-4A69-A521-DBF4405392D3}">
  <dimension ref="A1:R30"/>
  <sheetViews>
    <sheetView topLeftCell="A6" workbookViewId="0">
      <selection activeCell="K14" sqref="K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1376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1377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1379</v>
      </c>
      <c r="C16" s="53" t="s">
        <v>23</v>
      </c>
      <c r="D16" s="79">
        <v>12</v>
      </c>
      <c r="E16" s="56">
        <v>6.4</v>
      </c>
      <c r="F16" s="56">
        <f>D16*E16</f>
        <v>76.800000000000011</v>
      </c>
      <c r="G16" s="56">
        <f>F16*0</f>
        <v>0</v>
      </c>
      <c r="H16" s="125">
        <f>E16*1</f>
        <v>6.4</v>
      </c>
      <c r="I16" s="56">
        <f t="shared" ref="I16:I20" si="0">H16*D16</f>
        <v>76.800000000000011</v>
      </c>
      <c r="J16" s="83"/>
      <c r="N16" s="66"/>
    </row>
    <row r="17" spans="1:18" s="21" customFormat="1" ht="15.75" x14ac:dyDescent="0.25">
      <c r="A17" s="53">
        <v>2</v>
      </c>
      <c r="B17" s="78" t="s">
        <v>1378</v>
      </c>
      <c r="C17" s="53" t="s">
        <v>23</v>
      </c>
      <c r="D17" s="79">
        <v>24</v>
      </c>
      <c r="E17" s="56">
        <v>6.4</v>
      </c>
      <c r="F17" s="56">
        <f t="shared" ref="F17:F20" si="1">D17*E17</f>
        <v>153.60000000000002</v>
      </c>
      <c r="G17" s="56">
        <f>F17*0</f>
        <v>0</v>
      </c>
      <c r="H17" s="125">
        <f>E17*1</f>
        <v>6.4</v>
      </c>
      <c r="I17" s="56">
        <f t="shared" si="0"/>
        <v>153.60000000000002</v>
      </c>
      <c r="J17" s="83"/>
      <c r="N17" s="66"/>
    </row>
    <row r="18" spans="1:18" s="21" customFormat="1" ht="15.75" x14ac:dyDescent="0.25">
      <c r="A18" s="53">
        <v>3</v>
      </c>
      <c r="B18" s="78" t="s">
        <v>1380</v>
      </c>
      <c r="C18" s="53" t="s">
        <v>23</v>
      </c>
      <c r="D18" s="79">
        <v>2</v>
      </c>
      <c r="E18" s="56">
        <v>160</v>
      </c>
      <c r="F18" s="56">
        <f t="shared" si="1"/>
        <v>320</v>
      </c>
      <c r="G18" s="56">
        <f t="shared" ref="G18:G20" si="2">F18*0.17</f>
        <v>54.400000000000006</v>
      </c>
      <c r="H18" s="125">
        <f t="shared" ref="H18:H20" si="3">E18*1.17</f>
        <v>187.2</v>
      </c>
      <c r="I18" s="56">
        <f t="shared" si="0"/>
        <v>374.4</v>
      </c>
      <c r="J18" s="83"/>
      <c r="N18" s="66"/>
    </row>
    <row r="19" spans="1:18" s="21" customFormat="1" ht="15.75" x14ac:dyDescent="0.25">
      <c r="A19" s="53">
        <v>4</v>
      </c>
      <c r="B19" s="78" t="s">
        <v>1381</v>
      </c>
      <c r="C19" s="53" t="s">
        <v>23</v>
      </c>
      <c r="D19" s="79">
        <v>1</v>
      </c>
      <c r="E19" s="56">
        <v>400</v>
      </c>
      <c r="F19" s="56">
        <f t="shared" si="1"/>
        <v>400</v>
      </c>
      <c r="G19" s="56">
        <f t="shared" si="2"/>
        <v>68</v>
      </c>
      <c r="H19" s="125">
        <f t="shared" si="3"/>
        <v>468</v>
      </c>
      <c r="I19" s="56">
        <f t="shared" si="0"/>
        <v>468</v>
      </c>
      <c r="J19" s="83"/>
      <c r="N19" s="66"/>
    </row>
    <row r="20" spans="1:18" s="21" customFormat="1" ht="15.75" x14ac:dyDescent="0.25">
      <c r="A20" s="53">
        <v>5</v>
      </c>
      <c r="B20" s="78" t="s">
        <v>1382</v>
      </c>
      <c r="C20" s="53" t="s">
        <v>23</v>
      </c>
      <c r="D20" s="79">
        <v>3</v>
      </c>
      <c r="E20" s="56">
        <v>180</v>
      </c>
      <c r="F20" s="56">
        <f t="shared" si="1"/>
        <v>540</v>
      </c>
      <c r="G20" s="56">
        <f t="shared" si="2"/>
        <v>91.800000000000011</v>
      </c>
      <c r="H20" s="125">
        <f t="shared" si="3"/>
        <v>210.6</v>
      </c>
      <c r="I20" s="56">
        <f t="shared" si="0"/>
        <v>631.79999999999995</v>
      </c>
      <c r="J20" s="83"/>
      <c r="N20" s="66"/>
    </row>
    <row r="21" spans="1:18" s="21" customFormat="1" x14ac:dyDescent="0.25">
      <c r="A21" s="53"/>
      <c r="B21" s="47"/>
      <c r="C21" s="53"/>
      <c r="D21" s="79"/>
      <c r="E21" s="56"/>
      <c r="F21" s="56"/>
      <c r="G21" s="56"/>
      <c r="H21" s="57"/>
      <c r="I21" s="56"/>
      <c r="J21" s="58"/>
      <c r="N21" s="66"/>
    </row>
    <row r="22" spans="1:18" ht="15.75" thickBot="1" x14ac:dyDescent="0.3">
      <c r="A22" s="33"/>
      <c r="B22" s="34" t="s">
        <v>24</v>
      </c>
      <c r="C22" s="35"/>
      <c r="D22" s="62">
        <f>SUM(D16:D21)</f>
        <v>42</v>
      </c>
      <c r="E22" s="35"/>
      <c r="F22" s="62">
        <f>SUM(F16:F21)</f>
        <v>1490.4</v>
      </c>
      <c r="G22" s="62">
        <f>SUM(G16:G21)</f>
        <v>214.20000000000002</v>
      </c>
      <c r="H22" s="35"/>
      <c r="I22" s="62">
        <f>SUM(I16:I21)</f>
        <v>1704.6</v>
      </c>
      <c r="J22" s="37"/>
    </row>
    <row r="23" spans="1:18" ht="15.75" thickTop="1" x14ac:dyDescent="0.25">
      <c r="A23" s="33"/>
      <c r="B23" s="34" t="s">
        <v>1383</v>
      </c>
      <c r="C23" s="35"/>
      <c r="D23" s="35"/>
      <c r="E23" s="35"/>
      <c r="F23" s="35"/>
      <c r="G23" s="35"/>
      <c r="H23" s="35"/>
      <c r="I23" s="35"/>
      <c r="J23" s="37"/>
    </row>
    <row r="24" spans="1:18" x14ac:dyDescent="0.25">
      <c r="A24" s="33"/>
      <c r="B24" s="38" t="s">
        <v>25</v>
      </c>
      <c r="C24" s="35"/>
      <c r="D24" s="35"/>
      <c r="E24" s="35"/>
      <c r="F24" s="35"/>
      <c r="G24" s="35"/>
      <c r="H24" s="35"/>
      <c r="I24" s="35"/>
      <c r="J24" s="37"/>
      <c r="M24" s="64"/>
      <c r="O24" s="65"/>
      <c r="P24" s="64"/>
      <c r="Q24" s="64"/>
      <c r="R24" s="64"/>
    </row>
    <row r="25" spans="1:18" ht="30" customHeight="1" x14ac:dyDescent="0.25">
      <c r="B25" s="183" t="s">
        <v>26</v>
      </c>
      <c r="C25" s="183"/>
      <c r="D25" s="183"/>
      <c r="E25" s="183"/>
      <c r="F25" s="183"/>
      <c r="G25" s="183"/>
      <c r="H25" s="183"/>
      <c r="I25" s="183"/>
      <c r="J25" s="183"/>
      <c r="P25" s="64"/>
      <c r="R25" s="65"/>
    </row>
    <row r="26" spans="1:18" x14ac:dyDescent="0.25">
      <c r="B26" t="s">
        <v>634</v>
      </c>
    </row>
    <row r="29" spans="1:18" x14ac:dyDescent="0.25">
      <c r="B29" t="s">
        <v>28</v>
      </c>
      <c r="H29" t="s">
        <v>28</v>
      </c>
    </row>
    <row r="30" spans="1:18" x14ac:dyDescent="0.25">
      <c r="B30" t="s">
        <v>29</v>
      </c>
      <c r="H30" t="s">
        <v>30</v>
      </c>
    </row>
  </sheetData>
  <autoFilter ref="A15:J26" xr:uid="{00000000-0009-0000-0000-000000000000}"/>
  <mergeCells count="5">
    <mergeCell ref="A6:J6"/>
    <mergeCell ref="I7:J7"/>
    <mergeCell ref="I8:J8"/>
    <mergeCell ref="I9:J9"/>
    <mergeCell ref="B25:J25"/>
  </mergeCells>
  <hyperlinks>
    <hyperlink ref="H5" r:id="rId1" xr:uid="{13E0B912-2822-4F5D-9D51-9065E58847F1}"/>
  </hyperlinks>
  <pageMargins left="0.2" right="0.1" top="0.25" bottom="0.25" header="0.3" footer="0.3"/>
  <pageSetup paperSize="9" orientation="portrait" r:id="rId2"/>
  <drawing r:id="rId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3867B-FB7E-4347-9358-1AE0D94B55B5}">
  <dimension ref="A1:R32"/>
  <sheetViews>
    <sheetView workbookViewId="0">
      <selection activeCell="F4" sqref="F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1360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1363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25.5" x14ac:dyDescent="0.25">
      <c r="A16" s="53">
        <v>1</v>
      </c>
      <c r="B16" s="78" t="s">
        <v>1364</v>
      </c>
      <c r="C16" s="53" t="s">
        <v>23</v>
      </c>
      <c r="D16" s="79">
        <v>6</v>
      </c>
      <c r="E16" s="56">
        <v>45</v>
      </c>
      <c r="F16" s="56">
        <f>D16*E16</f>
        <v>270</v>
      </c>
      <c r="G16" s="56">
        <f>F16*0.17</f>
        <v>45.900000000000006</v>
      </c>
      <c r="H16" s="125">
        <f>E16*1.17</f>
        <v>52.65</v>
      </c>
      <c r="I16" s="56">
        <f t="shared" ref="I16" si="0">H16*D16</f>
        <v>315.89999999999998</v>
      </c>
      <c r="J16" s="83"/>
      <c r="N16" s="66"/>
    </row>
    <row r="17" spans="1:18" s="21" customFormat="1" ht="15.75" x14ac:dyDescent="0.25">
      <c r="A17" s="53">
        <v>2</v>
      </c>
      <c r="B17" s="78" t="s">
        <v>1365</v>
      </c>
      <c r="C17" s="53" t="s">
        <v>23</v>
      </c>
      <c r="D17" s="79">
        <v>6</v>
      </c>
      <c r="E17" s="56">
        <v>38</v>
      </c>
      <c r="F17" s="56">
        <f t="shared" ref="F17:F22" si="1">D17*E17</f>
        <v>228</v>
      </c>
      <c r="G17" s="56">
        <f t="shared" ref="G17:G21" si="2">F17*0.17</f>
        <v>38.760000000000005</v>
      </c>
      <c r="H17" s="125">
        <f t="shared" ref="H17:H21" si="3">E17*1.17</f>
        <v>44.459999999999994</v>
      </c>
      <c r="I17" s="56">
        <f t="shared" ref="I17:I22" si="4">H17*D17</f>
        <v>266.76</v>
      </c>
      <c r="J17" s="83"/>
      <c r="N17" s="66"/>
    </row>
    <row r="18" spans="1:18" s="21" customFormat="1" ht="15.75" x14ac:dyDescent="0.25">
      <c r="A18" s="53">
        <v>3</v>
      </c>
      <c r="B18" s="78" t="s">
        <v>1366</v>
      </c>
      <c r="C18" s="53" t="s">
        <v>76</v>
      </c>
      <c r="D18" s="79">
        <v>20</v>
      </c>
      <c r="E18" s="56">
        <v>17</v>
      </c>
      <c r="F18" s="56">
        <f t="shared" si="1"/>
        <v>340</v>
      </c>
      <c r="G18" s="56">
        <f t="shared" si="2"/>
        <v>57.800000000000004</v>
      </c>
      <c r="H18" s="125">
        <f t="shared" si="3"/>
        <v>19.89</v>
      </c>
      <c r="I18" s="56">
        <f t="shared" si="4"/>
        <v>397.8</v>
      </c>
      <c r="J18" s="83"/>
      <c r="N18" s="66"/>
    </row>
    <row r="19" spans="1:18" s="21" customFormat="1" ht="15.75" x14ac:dyDescent="0.25">
      <c r="A19" s="53">
        <v>4</v>
      </c>
      <c r="B19" s="78" t="s">
        <v>1367</v>
      </c>
      <c r="C19" s="53" t="s">
        <v>23</v>
      </c>
      <c r="D19" s="79">
        <v>6</v>
      </c>
      <c r="E19" s="56">
        <v>250</v>
      </c>
      <c r="F19" s="56">
        <f t="shared" si="1"/>
        <v>1500</v>
      </c>
      <c r="G19" s="56">
        <f t="shared" si="2"/>
        <v>255.00000000000003</v>
      </c>
      <c r="H19" s="125">
        <f t="shared" si="3"/>
        <v>292.5</v>
      </c>
      <c r="I19" s="56">
        <f t="shared" si="4"/>
        <v>1755</v>
      </c>
      <c r="J19" s="83"/>
      <c r="N19" s="66"/>
    </row>
    <row r="20" spans="1:18" s="21" customFormat="1" ht="15.75" x14ac:dyDescent="0.25">
      <c r="A20" s="53">
        <v>5</v>
      </c>
      <c r="B20" s="78" t="s">
        <v>1368</v>
      </c>
      <c r="C20" s="53" t="s">
        <v>23</v>
      </c>
      <c r="D20" s="79">
        <v>20</v>
      </c>
      <c r="E20" s="56">
        <v>90</v>
      </c>
      <c r="F20" s="56">
        <f t="shared" si="1"/>
        <v>1800</v>
      </c>
      <c r="G20" s="56">
        <f>F20*0</f>
        <v>0</v>
      </c>
      <c r="H20" s="125">
        <f>E20*1</f>
        <v>90</v>
      </c>
      <c r="I20" s="56">
        <f t="shared" si="4"/>
        <v>1800</v>
      </c>
      <c r="J20" s="83"/>
      <c r="N20" s="66"/>
    </row>
    <row r="21" spans="1:18" s="21" customFormat="1" ht="15.75" x14ac:dyDescent="0.25">
      <c r="A21" s="53">
        <v>6</v>
      </c>
      <c r="B21" s="78" t="s">
        <v>1369</v>
      </c>
      <c r="C21" s="53" t="s">
        <v>23</v>
      </c>
      <c r="D21" s="79">
        <v>20</v>
      </c>
      <c r="E21" s="56">
        <v>110</v>
      </c>
      <c r="F21" s="56">
        <f t="shared" si="1"/>
        <v>2200</v>
      </c>
      <c r="G21" s="56">
        <f t="shared" si="2"/>
        <v>374</v>
      </c>
      <c r="H21" s="125">
        <f t="shared" si="3"/>
        <v>128.69999999999999</v>
      </c>
      <c r="I21" s="56">
        <f t="shared" si="4"/>
        <v>2574</v>
      </c>
      <c r="J21" s="83"/>
      <c r="N21" s="66"/>
    </row>
    <row r="22" spans="1:18" s="21" customFormat="1" ht="15.75" x14ac:dyDescent="0.25">
      <c r="A22" s="53">
        <v>7</v>
      </c>
      <c r="B22" s="78" t="s">
        <v>1370</v>
      </c>
      <c r="C22" s="53" t="s">
        <v>23</v>
      </c>
      <c r="D22" s="79">
        <v>700</v>
      </c>
      <c r="E22" s="56">
        <v>6.4</v>
      </c>
      <c r="F22" s="56">
        <f t="shared" si="1"/>
        <v>4480</v>
      </c>
      <c r="G22" s="56">
        <f>F22*0</f>
        <v>0</v>
      </c>
      <c r="H22" s="125">
        <f>E22*1</f>
        <v>6.4</v>
      </c>
      <c r="I22" s="56">
        <f t="shared" si="4"/>
        <v>4480</v>
      </c>
      <c r="J22" s="83"/>
      <c r="N22" s="66"/>
    </row>
    <row r="23" spans="1:18" s="21" customFormat="1" x14ac:dyDescent="0.25">
      <c r="A23" s="53"/>
      <c r="B23" s="47"/>
      <c r="C23" s="53"/>
      <c r="D23" s="79"/>
      <c r="E23" s="56"/>
      <c r="F23" s="56"/>
      <c r="G23" s="56"/>
      <c r="H23" s="57"/>
      <c r="I23" s="56"/>
      <c r="J23" s="58"/>
      <c r="N23" s="66"/>
    </row>
    <row r="24" spans="1:18" ht="15.75" thickBot="1" x14ac:dyDescent="0.3">
      <c r="A24" s="33"/>
      <c r="B24" s="34" t="s">
        <v>24</v>
      </c>
      <c r="C24" s="35"/>
      <c r="D24" s="62">
        <f>SUM(D16:D23)</f>
        <v>778</v>
      </c>
      <c r="E24" s="35"/>
      <c r="F24" s="62">
        <f>SUM(F16:F23)</f>
        <v>10818</v>
      </c>
      <c r="G24" s="62">
        <f>SUM(G16:G23)</f>
        <v>771.46</v>
      </c>
      <c r="H24" s="35"/>
      <c r="I24" s="62">
        <f>SUM(I16:I23)</f>
        <v>11589.46</v>
      </c>
      <c r="J24" s="37"/>
    </row>
    <row r="25" spans="1:18" ht="15.75" thickTop="1" x14ac:dyDescent="0.25">
      <c r="A25" s="33"/>
      <c r="B25" s="34" t="s">
        <v>1371</v>
      </c>
      <c r="C25" s="35"/>
      <c r="D25" s="35"/>
      <c r="E25" s="35"/>
      <c r="F25" s="35"/>
      <c r="G25" s="35"/>
      <c r="H25" s="35"/>
      <c r="I25" s="35"/>
      <c r="J25" s="37"/>
    </row>
    <row r="26" spans="1:18" x14ac:dyDescent="0.25">
      <c r="A26" s="33"/>
      <c r="B26" s="38" t="s">
        <v>25</v>
      </c>
      <c r="C26" s="35"/>
      <c r="D26" s="35"/>
      <c r="E26" s="35"/>
      <c r="F26" s="35"/>
      <c r="G26" s="35"/>
      <c r="H26" s="35"/>
      <c r="I26" s="35"/>
      <c r="J26" s="37"/>
      <c r="M26" s="64"/>
      <c r="O26" s="65"/>
      <c r="P26" s="64"/>
      <c r="Q26" s="64"/>
      <c r="R26" s="64"/>
    </row>
    <row r="27" spans="1:18" ht="30" customHeight="1" x14ac:dyDescent="0.25">
      <c r="B27" s="183" t="s">
        <v>26</v>
      </c>
      <c r="C27" s="183"/>
      <c r="D27" s="183"/>
      <c r="E27" s="183"/>
      <c r="F27" s="183"/>
      <c r="G27" s="183"/>
      <c r="H27" s="183"/>
      <c r="I27" s="183"/>
      <c r="J27" s="183"/>
      <c r="P27" s="64"/>
      <c r="R27" s="65"/>
    </row>
    <row r="28" spans="1:18" x14ac:dyDescent="0.25">
      <c r="B28" t="s">
        <v>634</v>
      </c>
    </row>
    <row r="31" spans="1:18" x14ac:dyDescent="0.25">
      <c r="B31" t="s">
        <v>28</v>
      </c>
      <c r="H31" t="s">
        <v>28</v>
      </c>
    </row>
    <row r="32" spans="1:18" x14ac:dyDescent="0.25">
      <c r="B32" t="s">
        <v>29</v>
      </c>
      <c r="H32" t="s">
        <v>30</v>
      </c>
    </row>
  </sheetData>
  <autoFilter ref="A15:J28" xr:uid="{00000000-0009-0000-0000-000000000000}"/>
  <mergeCells count="5">
    <mergeCell ref="A6:J6"/>
    <mergeCell ref="I7:J7"/>
    <mergeCell ref="I8:J8"/>
    <mergeCell ref="I9:J9"/>
    <mergeCell ref="B27:J27"/>
  </mergeCells>
  <hyperlinks>
    <hyperlink ref="H5" r:id="rId1" xr:uid="{809FF83B-FBFA-48E3-810A-82BD36505D13}"/>
  </hyperlinks>
  <pageMargins left="0.2" right="0.1" top="0.25" bottom="0.25" header="0.3" footer="0.3"/>
  <pageSetup paperSize="9" orientation="portrait" r:id="rId2"/>
  <drawing r:id="rId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CA853-49F2-4EF5-95A3-3143E43CFA82}">
  <dimension ref="A1:R26"/>
  <sheetViews>
    <sheetView topLeftCell="A5" workbookViewId="0">
      <selection activeCell="B22" sqref="B2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1360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1359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1361</v>
      </c>
      <c r="C16" s="53" t="s">
        <v>165</v>
      </c>
      <c r="D16" s="79">
        <v>20</v>
      </c>
      <c r="E16" s="56">
        <v>1280</v>
      </c>
      <c r="F16" s="56">
        <f t="shared" ref="F16" si="0">D16*E16</f>
        <v>25600</v>
      </c>
      <c r="G16" s="56">
        <f>F16*0.17</f>
        <v>4352</v>
      </c>
      <c r="H16" s="125">
        <f>E16*1.17</f>
        <v>1497.6</v>
      </c>
      <c r="I16" s="56">
        <f t="shared" ref="I16" si="1">H16*D16</f>
        <v>29952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20</v>
      </c>
      <c r="E18" s="35"/>
      <c r="F18" s="62">
        <f>SUM(F16:F17)</f>
        <v>25600</v>
      </c>
      <c r="G18" s="62">
        <f>SUM(G16:G17)</f>
        <v>4352</v>
      </c>
      <c r="H18" s="35"/>
      <c r="I18" s="62">
        <f>SUM(I16:I17)</f>
        <v>29952</v>
      </c>
      <c r="J18" s="37"/>
    </row>
    <row r="19" spans="1:18" ht="15.75" thickTop="1" x14ac:dyDescent="0.25">
      <c r="A19" s="33"/>
      <c r="B19" s="34" t="s">
        <v>1362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5B4581AD-6E9E-402C-AF16-5490E119EE4A}"/>
  </hyperlinks>
  <pageMargins left="0.2" right="0.1" top="0.25" bottom="0.25" header="0.3" footer="0.3"/>
  <pageSetup paperSize="9" orientation="portrait" r:id="rId2"/>
  <drawing r:id="rId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DF108-D1F9-406F-B4DA-25465B1F57F0}">
  <dimension ref="A1:R29"/>
  <sheetViews>
    <sheetView topLeftCell="A8" workbookViewId="0">
      <selection activeCell="H13" sqref="H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1328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1352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1353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1354</v>
      </c>
      <c r="C16" s="53" t="s">
        <v>165</v>
      </c>
      <c r="D16" s="79">
        <v>2</v>
      </c>
      <c r="E16" s="56">
        <v>295</v>
      </c>
      <c r="F16" s="56">
        <f t="shared" ref="F16:F19" si="0">D16*E16</f>
        <v>590</v>
      </c>
      <c r="G16" s="56">
        <f>F16*0</f>
        <v>0</v>
      </c>
      <c r="H16" s="74">
        <f>E16*1</f>
        <v>295</v>
      </c>
      <c r="I16" s="56">
        <f>H16*D16</f>
        <v>590</v>
      </c>
      <c r="J16" s="83"/>
      <c r="N16" s="66"/>
    </row>
    <row r="17" spans="1:18" s="21" customFormat="1" ht="15.75" x14ac:dyDescent="0.25">
      <c r="A17" s="53">
        <v>2</v>
      </c>
      <c r="B17" s="78" t="s">
        <v>1355</v>
      </c>
      <c r="C17" s="53" t="s">
        <v>165</v>
      </c>
      <c r="D17" s="79">
        <v>2</v>
      </c>
      <c r="E17" s="56">
        <v>295</v>
      </c>
      <c r="F17" s="56">
        <f>D17*E17</f>
        <v>590</v>
      </c>
      <c r="G17" s="56">
        <v>0</v>
      </c>
      <c r="H17" s="74">
        <f>E17*1</f>
        <v>295</v>
      </c>
      <c r="I17" s="56">
        <f>H17*D17</f>
        <v>590</v>
      </c>
      <c r="J17" s="83"/>
      <c r="N17" s="66"/>
    </row>
    <row r="18" spans="1:18" s="21" customFormat="1" ht="15.75" x14ac:dyDescent="0.25">
      <c r="A18" s="53">
        <v>3</v>
      </c>
      <c r="B18" s="78" t="s">
        <v>1356</v>
      </c>
      <c r="C18" s="53" t="s">
        <v>165</v>
      </c>
      <c r="D18" s="79">
        <v>2</v>
      </c>
      <c r="E18" s="56">
        <v>295</v>
      </c>
      <c r="F18" s="56">
        <f>D18*E18</f>
        <v>590</v>
      </c>
      <c r="G18" s="56">
        <v>0</v>
      </c>
      <c r="H18" s="74">
        <f>E18*1</f>
        <v>295</v>
      </c>
      <c r="I18" s="56">
        <f>H18*D18</f>
        <v>590</v>
      </c>
      <c r="J18" s="83"/>
      <c r="N18" s="66"/>
    </row>
    <row r="19" spans="1:18" s="21" customFormat="1" ht="15.75" x14ac:dyDescent="0.25">
      <c r="A19" s="53">
        <v>4</v>
      </c>
      <c r="B19" s="78" t="s">
        <v>1357</v>
      </c>
      <c r="C19" s="53" t="s">
        <v>165</v>
      </c>
      <c r="D19" s="79">
        <v>2</v>
      </c>
      <c r="E19" s="56">
        <v>295</v>
      </c>
      <c r="F19" s="56">
        <f t="shared" si="0"/>
        <v>590</v>
      </c>
      <c r="G19" s="56">
        <v>0</v>
      </c>
      <c r="H19" s="74">
        <f>E19*1</f>
        <v>295</v>
      </c>
      <c r="I19" s="56">
        <f>H19*D19</f>
        <v>590</v>
      </c>
      <c r="J19" s="83"/>
      <c r="N19" s="66"/>
    </row>
    <row r="20" spans="1:18" s="21" customFormat="1" x14ac:dyDescent="0.25">
      <c r="A20" s="53"/>
      <c r="B20" s="47"/>
      <c r="C20" s="53"/>
      <c r="D20" s="79"/>
      <c r="E20" s="56"/>
      <c r="F20" s="56"/>
      <c r="G20" s="56"/>
      <c r="H20" s="57"/>
      <c r="I20" s="56"/>
      <c r="J20" s="58"/>
      <c r="N20" s="66"/>
    </row>
    <row r="21" spans="1:18" ht="15.75" thickBot="1" x14ac:dyDescent="0.3">
      <c r="A21" s="33"/>
      <c r="B21" s="34" t="s">
        <v>24</v>
      </c>
      <c r="C21" s="35"/>
      <c r="D21" s="62">
        <f>SUM(D16:D20)</f>
        <v>8</v>
      </c>
      <c r="E21" s="35"/>
      <c r="F21" s="62">
        <f>SUM(F16:F20)</f>
        <v>2360</v>
      </c>
      <c r="G21" s="62">
        <f>SUM(G16:G20)</f>
        <v>0</v>
      </c>
      <c r="H21" s="35"/>
      <c r="I21" s="62">
        <f>SUM(I16:I20)</f>
        <v>2360</v>
      </c>
      <c r="J21" s="37"/>
    </row>
    <row r="22" spans="1:18" ht="15.75" thickTop="1" x14ac:dyDescent="0.25">
      <c r="A22" s="33"/>
      <c r="B22" s="34" t="s">
        <v>1358</v>
      </c>
      <c r="C22" s="35"/>
      <c r="D22" s="35"/>
      <c r="E22" s="35"/>
      <c r="F22" s="35"/>
      <c r="G22" s="35"/>
      <c r="H22" s="35"/>
      <c r="I22" s="35"/>
      <c r="J22" s="37"/>
    </row>
    <row r="23" spans="1:18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  <c r="M23" s="64"/>
      <c r="O23" s="65"/>
      <c r="P23" s="64"/>
      <c r="Q23" s="64"/>
      <c r="R23" s="64"/>
    </row>
    <row r="24" spans="1:18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  <c r="P24" s="64"/>
      <c r="R24" s="65"/>
    </row>
    <row r="25" spans="1:18" x14ac:dyDescent="0.25">
      <c r="B25" t="s">
        <v>634</v>
      </c>
    </row>
    <row r="28" spans="1:18" x14ac:dyDescent="0.25">
      <c r="B28" t="s">
        <v>28</v>
      </c>
      <c r="H28" t="s">
        <v>28</v>
      </c>
    </row>
    <row r="29" spans="1:18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44868114-8F22-43D5-B400-35BC99FAAF35}"/>
  </hyperlinks>
  <pageMargins left="0.2" right="0.1" top="0.25" bottom="0.25" header="0.3" footer="0.3"/>
  <pageSetup paperSize="9" orientation="portrait" r:id="rId2"/>
  <drawing r:id="rId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DFC23-838A-484E-9DC9-FD8CCA11C0C5}">
  <dimension ref="A1:R32"/>
  <sheetViews>
    <sheetView workbookViewId="0">
      <selection activeCell="B7" sqref="B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1328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1342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1350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1343</v>
      </c>
      <c r="C16" s="53" t="s">
        <v>23</v>
      </c>
      <c r="D16" s="79">
        <v>36</v>
      </c>
      <c r="E16" s="56">
        <v>32</v>
      </c>
      <c r="F16" s="56">
        <f t="shared" ref="F16:F22" si="0">D16*E16</f>
        <v>1152</v>
      </c>
      <c r="G16" s="56">
        <f>F16*0.17</f>
        <v>195.84</v>
      </c>
      <c r="H16" s="74">
        <f>E16*1.17</f>
        <v>37.44</v>
      </c>
      <c r="I16" s="56">
        <f t="shared" ref="I16:I22" si="1">H16*D16</f>
        <v>1347.84</v>
      </c>
      <c r="J16" s="83"/>
      <c r="N16" s="66"/>
    </row>
    <row r="17" spans="1:18" s="21" customFormat="1" ht="15.75" x14ac:dyDescent="0.25">
      <c r="A17" s="53">
        <v>2</v>
      </c>
      <c r="B17" s="78" t="s">
        <v>1344</v>
      </c>
      <c r="C17" s="53" t="s">
        <v>23</v>
      </c>
      <c r="D17" s="79">
        <v>18</v>
      </c>
      <c r="E17" s="56">
        <v>300</v>
      </c>
      <c r="F17" s="56">
        <f t="shared" si="0"/>
        <v>5400</v>
      </c>
      <c r="G17" s="56">
        <f t="shared" ref="G17:G22" si="2">F17*0.17</f>
        <v>918.00000000000011</v>
      </c>
      <c r="H17" s="74">
        <f t="shared" ref="H17:H22" si="3">E17*1.17</f>
        <v>351</v>
      </c>
      <c r="I17" s="56">
        <f t="shared" si="1"/>
        <v>6318</v>
      </c>
      <c r="J17" s="83"/>
      <c r="N17" s="66"/>
    </row>
    <row r="18" spans="1:18" s="21" customFormat="1" ht="15.75" x14ac:dyDescent="0.25">
      <c r="A18" s="53">
        <v>3</v>
      </c>
      <c r="B18" s="78" t="s">
        <v>1345</v>
      </c>
      <c r="C18" s="53" t="s">
        <v>23</v>
      </c>
      <c r="D18" s="79">
        <v>190</v>
      </c>
      <c r="E18" s="56">
        <f>F18/D18</f>
        <v>38.4</v>
      </c>
      <c r="F18" s="56">
        <v>7296</v>
      </c>
      <c r="G18" s="56">
        <f t="shared" si="2"/>
        <v>1240.3200000000002</v>
      </c>
      <c r="H18" s="74">
        <f t="shared" si="3"/>
        <v>44.927999999999997</v>
      </c>
      <c r="I18" s="56">
        <f t="shared" si="1"/>
        <v>8536.32</v>
      </c>
      <c r="J18" s="83"/>
      <c r="N18" s="66"/>
    </row>
    <row r="19" spans="1:18" s="21" customFormat="1" ht="15.75" x14ac:dyDescent="0.25">
      <c r="A19" s="53">
        <v>4</v>
      </c>
      <c r="B19" s="78" t="s">
        <v>1346</v>
      </c>
      <c r="C19" s="53" t="s">
        <v>23</v>
      </c>
      <c r="D19" s="79">
        <v>36</v>
      </c>
      <c r="E19" s="56">
        <v>28</v>
      </c>
      <c r="F19" s="56">
        <f t="shared" si="0"/>
        <v>1008</v>
      </c>
      <c r="G19" s="56">
        <f t="shared" si="2"/>
        <v>171.36</v>
      </c>
      <c r="H19" s="74">
        <f t="shared" si="3"/>
        <v>32.76</v>
      </c>
      <c r="I19" s="56">
        <f t="shared" si="1"/>
        <v>1179.3599999999999</v>
      </c>
      <c r="J19" s="83"/>
      <c r="N19" s="66"/>
    </row>
    <row r="20" spans="1:18" s="21" customFormat="1" ht="15.75" x14ac:dyDescent="0.25">
      <c r="A20" s="53">
        <v>5</v>
      </c>
      <c r="B20" s="78" t="s">
        <v>1347</v>
      </c>
      <c r="C20" s="53" t="s">
        <v>23</v>
      </c>
      <c r="D20" s="79">
        <v>24</v>
      </c>
      <c r="E20" s="56">
        <v>30</v>
      </c>
      <c r="F20" s="56">
        <f t="shared" si="0"/>
        <v>720</v>
      </c>
      <c r="G20" s="56">
        <f t="shared" si="2"/>
        <v>122.4</v>
      </c>
      <c r="H20" s="74">
        <f t="shared" si="3"/>
        <v>35.099999999999994</v>
      </c>
      <c r="I20" s="56">
        <f t="shared" si="1"/>
        <v>842.39999999999986</v>
      </c>
      <c r="J20" s="83"/>
      <c r="N20" s="66"/>
    </row>
    <row r="21" spans="1:18" s="21" customFormat="1" ht="15.75" x14ac:dyDescent="0.25">
      <c r="A21" s="53">
        <v>6</v>
      </c>
      <c r="B21" s="78" t="s">
        <v>1348</v>
      </c>
      <c r="C21" s="53" t="s">
        <v>23</v>
      </c>
      <c r="D21" s="79">
        <v>24</v>
      </c>
      <c r="E21" s="56">
        <v>80</v>
      </c>
      <c r="F21" s="56">
        <f t="shared" si="0"/>
        <v>1920</v>
      </c>
      <c r="G21" s="56">
        <f t="shared" si="2"/>
        <v>326.40000000000003</v>
      </c>
      <c r="H21" s="74">
        <f t="shared" si="3"/>
        <v>93.6</v>
      </c>
      <c r="I21" s="56">
        <f t="shared" si="1"/>
        <v>2246.3999999999996</v>
      </c>
      <c r="J21" s="83"/>
      <c r="N21" s="66"/>
    </row>
    <row r="22" spans="1:18" s="21" customFormat="1" ht="15.75" x14ac:dyDescent="0.25">
      <c r="A22" s="53">
        <v>7</v>
      </c>
      <c r="B22" s="78" t="s">
        <v>1339</v>
      </c>
      <c r="C22" s="53" t="s">
        <v>23</v>
      </c>
      <c r="D22" s="79">
        <v>96</v>
      </c>
      <c r="E22" s="56">
        <v>30</v>
      </c>
      <c r="F22" s="56">
        <f t="shared" si="0"/>
        <v>2880</v>
      </c>
      <c r="G22" s="56">
        <f t="shared" si="2"/>
        <v>489.6</v>
      </c>
      <c r="H22" s="74">
        <f t="shared" si="3"/>
        <v>35.099999999999994</v>
      </c>
      <c r="I22" s="56">
        <f t="shared" si="1"/>
        <v>3369.5999999999995</v>
      </c>
      <c r="J22" s="83"/>
      <c r="N22" s="66"/>
    </row>
    <row r="23" spans="1:18" s="21" customFormat="1" x14ac:dyDescent="0.25">
      <c r="A23" s="53"/>
      <c r="B23" s="47"/>
      <c r="C23" s="53"/>
      <c r="D23" s="79"/>
      <c r="E23" s="56"/>
      <c r="F23" s="56"/>
      <c r="G23" s="56"/>
      <c r="H23" s="57"/>
      <c r="I23" s="56"/>
      <c r="J23" s="58"/>
      <c r="N23" s="66"/>
    </row>
    <row r="24" spans="1:18" ht="15.75" thickBot="1" x14ac:dyDescent="0.3">
      <c r="A24" s="33"/>
      <c r="B24" s="34" t="s">
        <v>24</v>
      </c>
      <c r="C24" s="35"/>
      <c r="D24" s="62">
        <f>SUM(D16:D23)</f>
        <v>424</v>
      </c>
      <c r="E24" s="35"/>
      <c r="F24" s="62">
        <f>SUM(F16:F23)</f>
        <v>20376</v>
      </c>
      <c r="G24" s="62">
        <f>SUM(G16:G23)</f>
        <v>3463.9200000000005</v>
      </c>
      <c r="H24" s="35"/>
      <c r="I24" s="62">
        <f>SUM(I16:I23)</f>
        <v>23839.919999999998</v>
      </c>
      <c r="J24" s="37"/>
    </row>
    <row r="25" spans="1:18" ht="15.75" thickTop="1" x14ac:dyDescent="0.25">
      <c r="A25" s="33"/>
      <c r="B25" s="34" t="s">
        <v>1349</v>
      </c>
      <c r="C25" s="35"/>
      <c r="D25" s="35"/>
      <c r="E25" s="35"/>
      <c r="F25" s="35"/>
      <c r="G25" s="35"/>
      <c r="H25" s="35"/>
      <c r="I25" s="35"/>
      <c r="J25" s="37"/>
    </row>
    <row r="26" spans="1:18" x14ac:dyDescent="0.25">
      <c r="A26" s="33"/>
      <c r="B26" s="38" t="s">
        <v>25</v>
      </c>
      <c r="C26" s="35"/>
      <c r="D26" s="35"/>
      <c r="E26" s="35"/>
      <c r="F26" s="35"/>
      <c r="G26" s="35"/>
      <c r="H26" s="35"/>
      <c r="I26" s="35"/>
      <c r="J26" s="37"/>
      <c r="M26" s="64"/>
      <c r="O26" s="65"/>
      <c r="P26" s="64"/>
      <c r="Q26" s="64"/>
      <c r="R26" s="64"/>
    </row>
    <row r="27" spans="1:18" ht="30" customHeight="1" x14ac:dyDescent="0.25">
      <c r="B27" s="183" t="s">
        <v>26</v>
      </c>
      <c r="C27" s="183"/>
      <c r="D27" s="183"/>
      <c r="E27" s="183"/>
      <c r="F27" s="183"/>
      <c r="G27" s="183"/>
      <c r="H27" s="183"/>
      <c r="I27" s="183"/>
      <c r="J27" s="183"/>
      <c r="P27" s="64"/>
      <c r="R27" s="65"/>
    </row>
    <row r="28" spans="1:18" x14ac:dyDescent="0.25">
      <c r="B28" t="s">
        <v>634</v>
      </c>
    </row>
    <row r="31" spans="1:18" x14ac:dyDescent="0.25">
      <c r="B31" t="s">
        <v>28</v>
      </c>
      <c r="H31" t="s">
        <v>28</v>
      </c>
    </row>
    <row r="32" spans="1:18" x14ac:dyDescent="0.25">
      <c r="B32" t="s">
        <v>29</v>
      </c>
      <c r="H32" t="s">
        <v>30</v>
      </c>
    </row>
  </sheetData>
  <autoFilter ref="A15:J28" xr:uid="{00000000-0009-0000-0000-000000000000}"/>
  <mergeCells count="5">
    <mergeCell ref="A6:J6"/>
    <mergeCell ref="I7:J7"/>
    <mergeCell ref="I8:J8"/>
    <mergeCell ref="I9:J9"/>
    <mergeCell ref="B27:J27"/>
  </mergeCells>
  <hyperlinks>
    <hyperlink ref="H5" r:id="rId1" xr:uid="{8F32311D-F4C6-4406-9035-67CB27461628}"/>
  </hyperlinks>
  <pageMargins left="0.2" right="0.1" top="0.25" bottom="0.25" header="0.3" footer="0.3"/>
  <pageSetup paperSize="9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A97EE-DADC-49CC-9538-012312C9C760}">
  <dimension ref="A1:R29"/>
  <sheetViews>
    <sheetView topLeftCell="A12" workbookViewId="0">
      <selection activeCell="F19" activeCellId="1" sqref="F16 F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2278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25.5" x14ac:dyDescent="0.25">
      <c r="A16" s="53">
        <v>1</v>
      </c>
      <c r="B16" s="78" t="s">
        <v>1513</v>
      </c>
      <c r="C16" s="53" t="s">
        <v>1505</v>
      </c>
      <c r="D16" s="79">
        <v>1</v>
      </c>
      <c r="E16" s="56">
        <v>75</v>
      </c>
      <c r="F16" s="56">
        <f t="shared" ref="F16:F19" si="0">D16*E16</f>
        <v>75</v>
      </c>
      <c r="G16" s="149">
        <f>F16*0</f>
        <v>0</v>
      </c>
      <c r="H16" s="85">
        <f>E16*1</f>
        <v>75</v>
      </c>
      <c r="I16" s="56">
        <f t="shared" ref="I16:I19" si="1">H16*D16</f>
        <v>75</v>
      </c>
      <c r="J16" s="83"/>
      <c r="N16" s="66"/>
    </row>
    <row r="17" spans="1:18" s="21" customFormat="1" ht="15.75" x14ac:dyDescent="0.25">
      <c r="A17" s="53">
        <v>2</v>
      </c>
      <c r="B17" s="78" t="s">
        <v>1495</v>
      </c>
      <c r="C17" s="53" t="s">
        <v>1506</v>
      </c>
      <c r="D17" s="79">
        <v>1</v>
      </c>
      <c r="E17" s="56">
        <v>110</v>
      </c>
      <c r="F17" s="56">
        <f t="shared" si="0"/>
        <v>110</v>
      </c>
      <c r="G17" s="149">
        <f t="shared" ref="G17:G18" si="2">F17*0.17</f>
        <v>18.700000000000003</v>
      </c>
      <c r="H17" s="85">
        <f t="shared" ref="H17:H18" si="3">E17*1.17</f>
        <v>128.69999999999999</v>
      </c>
      <c r="I17" s="56">
        <f t="shared" si="1"/>
        <v>128.69999999999999</v>
      </c>
      <c r="J17" s="83"/>
      <c r="N17" s="66"/>
    </row>
    <row r="18" spans="1:18" s="21" customFormat="1" ht="15.75" x14ac:dyDescent="0.25">
      <c r="A18" s="53">
        <v>3</v>
      </c>
      <c r="B18" s="78" t="s">
        <v>1497</v>
      </c>
      <c r="C18" s="53" t="s">
        <v>1506</v>
      </c>
      <c r="D18" s="79">
        <v>1</v>
      </c>
      <c r="E18" s="56">
        <v>28</v>
      </c>
      <c r="F18" s="56">
        <f t="shared" si="0"/>
        <v>28</v>
      </c>
      <c r="G18" s="149">
        <f t="shared" si="2"/>
        <v>4.7600000000000007</v>
      </c>
      <c r="H18" s="85">
        <f t="shared" si="3"/>
        <v>32.76</v>
      </c>
      <c r="I18" s="56">
        <f t="shared" si="1"/>
        <v>32.76</v>
      </c>
      <c r="J18" s="83"/>
      <c r="N18" s="66"/>
    </row>
    <row r="19" spans="1:18" s="21" customFormat="1" ht="15.75" x14ac:dyDescent="0.25">
      <c r="A19" s="53">
        <v>4</v>
      </c>
      <c r="B19" s="78" t="s">
        <v>2242</v>
      </c>
      <c r="C19" s="53" t="s">
        <v>23</v>
      </c>
      <c r="D19" s="79">
        <v>2</v>
      </c>
      <c r="E19" s="56">
        <v>115</v>
      </c>
      <c r="F19" s="56">
        <f t="shared" si="0"/>
        <v>230</v>
      </c>
      <c r="G19" s="149">
        <f t="shared" ref="G19" si="4">F19*0</f>
        <v>0</v>
      </c>
      <c r="H19" s="85">
        <f t="shared" ref="H19" si="5">E19*1</f>
        <v>115</v>
      </c>
      <c r="I19" s="56">
        <f t="shared" si="1"/>
        <v>230</v>
      </c>
      <c r="J19" s="83"/>
      <c r="N19" s="66"/>
    </row>
    <row r="20" spans="1:18" s="21" customFormat="1" ht="15.75" x14ac:dyDescent="0.25">
      <c r="A20" s="53"/>
      <c r="B20" s="78"/>
      <c r="C20" s="53"/>
      <c r="D20" s="79"/>
      <c r="E20" s="56"/>
      <c r="F20" s="56"/>
      <c r="G20" s="149"/>
      <c r="H20" s="85"/>
      <c r="I20" s="56"/>
      <c r="J20" s="83"/>
      <c r="N20" s="66"/>
    </row>
    <row r="21" spans="1:18" ht="15.75" thickBot="1" x14ac:dyDescent="0.3">
      <c r="A21" s="33"/>
      <c r="B21" s="34" t="s">
        <v>24</v>
      </c>
      <c r="C21" s="35"/>
      <c r="D21" s="62">
        <f>SUM(D16:D20)</f>
        <v>5</v>
      </c>
      <c r="E21" s="35"/>
      <c r="F21" s="62">
        <f>SUM(F16:F20)</f>
        <v>443</v>
      </c>
      <c r="G21" s="62">
        <f>SUM(G16:G20)</f>
        <v>23.460000000000004</v>
      </c>
      <c r="H21" s="35"/>
      <c r="I21" s="62">
        <f>SUM(I16:I20)</f>
        <v>466.46</v>
      </c>
      <c r="J21" s="37"/>
    </row>
    <row r="22" spans="1:18" ht="15.75" thickTop="1" x14ac:dyDescent="0.25">
      <c r="A22" s="33"/>
      <c r="B22" s="34" t="s">
        <v>2279</v>
      </c>
      <c r="C22" s="35"/>
      <c r="D22" s="35"/>
      <c r="E22" s="35"/>
      <c r="F22" s="35"/>
      <c r="G22" s="35"/>
      <c r="H22" s="35"/>
      <c r="I22" s="35"/>
      <c r="J22" s="37"/>
    </row>
    <row r="23" spans="1:18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  <c r="M23" s="64"/>
      <c r="O23" s="65"/>
      <c r="P23" s="64"/>
      <c r="Q23" s="64"/>
      <c r="R23" s="64"/>
    </row>
    <row r="24" spans="1:18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  <c r="P24" s="64"/>
      <c r="R24" s="65"/>
    </row>
    <row r="25" spans="1:18" x14ac:dyDescent="0.25">
      <c r="B25" t="s">
        <v>634</v>
      </c>
    </row>
    <row r="28" spans="1:18" x14ac:dyDescent="0.25">
      <c r="B28" t="s">
        <v>28</v>
      </c>
      <c r="H28" t="s">
        <v>28</v>
      </c>
    </row>
    <row r="29" spans="1:18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A20F8175-1144-4441-BFC3-AAF4B09A650C}"/>
  </hyperlinks>
  <pageMargins left="0.2" right="0.1" top="0.25" bottom="0.25" header="0.3" footer="0.3"/>
  <pageSetup paperSize="9" orientation="portrait" r:id="rId2"/>
  <drawing r:id="rId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2BAE5-5FE1-4B1A-AE7F-7E3A525B5AA8}">
  <dimension ref="A1:R33"/>
  <sheetViews>
    <sheetView topLeftCell="A9" workbookViewId="0">
      <selection activeCell="I27" sqref="I2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1328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1332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1341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44</v>
      </c>
      <c r="C16" s="53" t="s">
        <v>23</v>
      </c>
      <c r="D16" s="79">
        <v>18</v>
      </c>
      <c r="E16" s="56">
        <v>200</v>
      </c>
      <c r="F16" s="56">
        <f t="shared" ref="F16" si="0">D16*E16</f>
        <v>3600</v>
      </c>
      <c r="G16" s="56">
        <f>F16*0.17</f>
        <v>612</v>
      </c>
      <c r="H16" s="74">
        <f>E16*1.17</f>
        <v>234</v>
      </c>
      <c r="I16" s="56">
        <f t="shared" ref="I16" si="1">H16*D16</f>
        <v>4212</v>
      </c>
      <c r="J16" s="83"/>
      <c r="N16" s="66"/>
    </row>
    <row r="17" spans="1:18" s="21" customFormat="1" ht="15.75" x14ac:dyDescent="0.25">
      <c r="A17" s="53">
        <v>2</v>
      </c>
      <c r="B17" s="78" t="s">
        <v>1333</v>
      </c>
      <c r="C17" s="53" t="s">
        <v>23</v>
      </c>
      <c r="D17" s="79">
        <v>144</v>
      </c>
      <c r="E17" s="56">
        <v>6</v>
      </c>
      <c r="F17" s="56">
        <f t="shared" ref="F17:F23" si="2">D17*E17</f>
        <v>864</v>
      </c>
      <c r="G17" s="56">
        <f t="shared" ref="G17:G23" si="3">F17*0.17</f>
        <v>146.88000000000002</v>
      </c>
      <c r="H17" s="74">
        <f t="shared" ref="H17:H23" si="4">E17*1.17</f>
        <v>7.02</v>
      </c>
      <c r="I17" s="56">
        <f t="shared" ref="I17:I23" si="5">H17*D17</f>
        <v>1010.8799999999999</v>
      </c>
      <c r="J17" s="83"/>
      <c r="N17" s="66"/>
    </row>
    <row r="18" spans="1:18" s="21" customFormat="1" ht="15.75" x14ac:dyDescent="0.25">
      <c r="A18" s="53">
        <v>3</v>
      </c>
      <c r="B18" s="78" t="s">
        <v>1334</v>
      </c>
      <c r="C18" s="53" t="s">
        <v>76</v>
      </c>
      <c r="D18" s="79">
        <v>200</v>
      </c>
      <c r="E18" s="56">
        <v>45</v>
      </c>
      <c r="F18" s="56">
        <f t="shared" si="2"/>
        <v>9000</v>
      </c>
      <c r="G18" s="56">
        <f t="shared" si="3"/>
        <v>1530</v>
      </c>
      <c r="H18" s="74">
        <f t="shared" si="4"/>
        <v>52.65</v>
      </c>
      <c r="I18" s="56">
        <f t="shared" si="5"/>
        <v>10530</v>
      </c>
      <c r="J18" s="83"/>
      <c r="N18" s="66"/>
    </row>
    <row r="19" spans="1:18" s="21" customFormat="1" ht="15.75" x14ac:dyDescent="0.25">
      <c r="A19" s="53">
        <v>4</v>
      </c>
      <c r="B19" s="78" t="s">
        <v>1335</v>
      </c>
      <c r="C19" s="53" t="s">
        <v>23</v>
      </c>
      <c r="D19" s="79">
        <v>36</v>
      </c>
      <c r="E19" s="56">
        <v>130</v>
      </c>
      <c r="F19" s="56">
        <f t="shared" si="2"/>
        <v>4680</v>
      </c>
      <c r="G19" s="56">
        <f t="shared" si="3"/>
        <v>795.6</v>
      </c>
      <c r="H19" s="74">
        <f t="shared" si="4"/>
        <v>152.1</v>
      </c>
      <c r="I19" s="56">
        <f t="shared" si="5"/>
        <v>5475.5999999999995</v>
      </c>
      <c r="J19" s="83"/>
      <c r="N19" s="66"/>
    </row>
    <row r="20" spans="1:18" s="21" customFormat="1" ht="15.75" x14ac:dyDescent="0.25">
      <c r="A20" s="53">
        <v>5</v>
      </c>
      <c r="B20" s="78" t="s">
        <v>1336</v>
      </c>
      <c r="C20" s="53" t="s">
        <v>23</v>
      </c>
      <c r="D20" s="79">
        <v>2000</v>
      </c>
      <c r="E20" s="56">
        <v>3</v>
      </c>
      <c r="F20" s="56">
        <f t="shared" si="2"/>
        <v>6000</v>
      </c>
      <c r="G20" s="56">
        <f t="shared" si="3"/>
        <v>1020.0000000000001</v>
      </c>
      <c r="H20" s="74">
        <f t="shared" si="4"/>
        <v>3.51</v>
      </c>
      <c r="I20" s="56">
        <f t="shared" si="5"/>
        <v>7020</v>
      </c>
      <c r="J20" s="83"/>
      <c r="N20" s="66"/>
    </row>
    <row r="21" spans="1:18" s="21" customFormat="1" ht="15.75" x14ac:dyDescent="0.25">
      <c r="A21" s="53">
        <v>6</v>
      </c>
      <c r="B21" s="78" t="s">
        <v>1337</v>
      </c>
      <c r="C21" s="53" t="s">
        <v>23</v>
      </c>
      <c r="D21" s="79">
        <v>288</v>
      </c>
      <c r="E21" s="56">
        <v>30</v>
      </c>
      <c r="F21" s="56">
        <f t="shared" si="2"/>
        <v>8640</v>
      </c>
      <c r="G21" s="56">
        <f t="shared" si="3"/>
        <v>1468.8000000000002</v>
      </c>
      <c r="H21" s="74">
        <f t="shared" si="4"/>
        <v>35.099999999999994</v>
      </c>
      <c r="I21" s="56">
        <f t="shared" si="5"/>
        <v>10108.799999999999</v>
      </c>
      <c r="J21" s="83"/>
      <c r="N21" s="66"/>
    </row>
    <row r="22" spans="1:18" s="21" customFormat="1" ht="15.75" x14ac:dyDescent="0.25">
      <c r="A22" s="53">
        <v>7</v>
      </c>
      <c r="B22" s="78" t="s">
        <v>1338</v>
      </c>
      <c r="C22" s="53" t="s">
        <v>23</v>
      </c>
      <c r="D22" s="79">
        <v>5</v>
      </c>
      <c r="E22" s="56">
        <v>280</v>
      </c>
      <c r="F22" s="56">
        <f t="shared" si="2"/>
        <v>1400</v>
      </c>
      <c r="G22" s="56">
        <f t="shared" si="3"/>
        <v>238.00000000000003</v>
      </c>
      <c r="H22" s="74">
        <f t="shared" si="4"/>
        <v>327.59999999999997</v>
      </c>
      <c r="I22" s="56">
        <f t="shared" si="5"/>
        <v>1637.9999999999998</v>
      </c>
      <c r="J22" s="83"/>
      <c r="N22" s="66"/>
    </row>
    <row r="23" spans="1:18" s="21" customFormat="1" ht="15.75" x14ac:dyDescent="0.25">
      <c r="A23" s="53">
        <v>8</v>
      </c>
      <c r="B23" s="78" t="s">
        <v>1339</v>
      </c>
      <c r="C23" s="53" t="s">
        <v>23</v>
      </c>
      <c r="D23" s="79">
        <v>144</v>
      </c>
      <c r="E23" s="56">
        <v>32</v>
      </c>
      <c r="F23" s="56">
        <f t="shared" si="2"/>
        <v>4608</v>
      </c>
      <c r="G23" s="56">
        <f t="shared" si="3"/>
        <v>783.36</v>
      </c>
      <c r="H23" s="74">
        <f t="shared" si="4"/>
        <v>37.44</v>
      </c>
      <c r="I23" s="56">
        <f t="shared" si="5"/>
        <v>5391.36</v>
      </c>
      <c r="J23" s="83"/>
      <c r="N23" s="66"/>
    </row>
    <row r="24" spans="1:18" s="21" customFormat="1" x14ac:dyDescent="0.25">
      <c r="A24" s="53"/>
      <c r="B24" s="47"/>
      <c r="C24" s="53"/>
      <c r="D24" s="79"/>
      <c r="E24" s="56"/>
      <c r="F24" s="56"/>
      <c r="G24" s="56"/>
      <c r="H24" s="57"/>
      <c r="I24" s="56"/>
      <c r="J24" s="58"/>
      <c r="N24" s="66"/>
    </row>
    <row r="25" spans="1:18" ht="15.75" thickBot="1" x14ac:dyDescent="0.3">
      <c r="A25" s="33"/>
      <c r="B25" s="34" t="s">
        <v>24</v>
      </c>
      <c r="C25" s="35"/>
      <c r="D25" s="62">
        <f>SUM(D16:D24)</f>
        <v>2835</v>
      </c>
      <c r="E25" s="35"/>
      <c r="F25" s="62">
        <f>SUM(F16:F24)</f>
        <v>38792</v>
      </c>
      <c r="G25" s="62">
        <f>SUM(G16:G24)</f>
        <v>6594.64</v>
      </c>
      <c r="H25" s="35"/>
      <c r="I25" s="62">
        <f>SUM(I16:I24)</f>
        <v>45386.64</v>
      </c>
      <c r="J25" s="37"/>
    </row>
    <row r="26" spans="1:18" ht="15.75" thickTop="1" x14ac:dyDescent="0.25">
      <c r="A26" s="33"/>
      <c r="B26" s="34" t="s">
        <v>1340</v>
      </c>
      <c r="C26" s="35"/>
      <c r="D26" s="35"/>
      <c r="E26" s="35"/>
      <c r="F26" s="35"/>
      <c r="G26" s="35"/>
      <c r="H26" s="35"/>
      <c r="I26" s="35"/>
      <c r="J26" s="37"/>
    </row>
    <row r="27" spans="1:18" x14ac:dyDescent="0.25">
      <c r="A27" s="33"/>
      <c r="B27" s="38" t="s">
        <v>25</v>
      </c>
      <c r="C27" s="35"/>
      <c r="D27" s="35"/>
      <c r="E27" s="35"/>
      <c r="F27" s="35"/>
      <c r="G27" s="35"/>
      <c r="H27" s="35"/>
      <c r="I27" s="35"/>
      <c r="J27" s="37"/>
      <c r="M27" s="64"/>
      <c r="O27" s="65"/>
      <c r="P27" s="64"/>
      <c r="Q27" s="64"/>
      <c r="R27" s="64"/>
    </row>
    <row r="28" spans="1:18" ht="30" customHeight="1" x14ac:dyDescent="0.25">
      <c r="B28" s="183" t="s">
        <v>26</v>
      </c>
      <c r="C28" s="183"/>
      <c r="D28" s="183"/>
      <c r="E28" s="183"/>
      <c r="F28" s="183"/>
      <c r="G28" s="183"/>
      <c r="H28" s="183"/>
      <c r="I28" s="183"/>
      <c r="J28" s="183"/>
      <c r="P28" s="64"/>
      <c r="R28" s="65"/>
    </row>
    <row r="29" spans="1:18" x14ac:dyDescent="0.25">
      <c r="B29" t="s">
        <v>634</v>
      </c>
    </row>
    <row r="32" spans="1:18" x14ac:dyDescent="0.25">
      <c r="B32" t="s">
        <v>28</v>
      </c>
      <c r="H32" t="s">
        <v>28</v>
      </c>
    </row>
    <row r="33" spans="2:8" x14ac:dyDescent="0.25">
      <c r="B33" t="s">
        <v>29</v>
      </c>
      <c r="H33" t="s">
        <v>30</v>
      </c>
    </row>
  </sheetData>
  <autoFilter ref="A15:J29" xr:uid="{00000000-0009-0000-0000-000000000000}"/>
  <mergeCells count="5">
    <mergeCell ref="A6:J6"/>
    <mergeCell ref="I7:J7"/>
    <mergeCell ref="I8:J8"/>
    <mergeCell ref="I9:J9"/>
    <mergeCell ref="B28:J28"/>
  </mergeCells>
  <hyperlinks>
    <hyperlink ref="H5" r:id="rId1" xr:uid="{683D589B-5296-4852-92FE-85A480D3723C}"/>
  </hyperlinks>
  <pageMargins left="0.2" right="0.1" top="0.25" bottom="0.25" header="0.3" footer="0.3"/>
  <pageSetup paperSize="9" orientation="portrait" r:id="rId2"/>
  <drawing r:id="rId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5B381-5164-49F0-B8F5-AB3BF92396AA}">
  <dimension ref="A1:R26"/>
  <sheetViews>
    <sheetView topLeftCell="A6" workbookViewId="0">
      <selection activeCell="E10" sqref="E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1328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1329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1351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1330</v>
      </c>
      <c r="C16" s="53" t="s">
        <v>269</v>
      </c>
      <c r="D16" s="79">
        <v>4</v>
      </c>
      <c r="E16" s="56">
        <v>320</v>
      </c>
      <c r="F16" s="56">
        <f t="shared" ref="F16" si="0">D16*E16</f>
        <v>1280</v>
      </c>
      <c r="G16" s="56">
        <f>F16*0.17</f>
        <v>217.60000000000002</v>
      </c>
      <c r="H16" s="74">
        <f>E16*1.17</f>
        <v>374.4</v>
      </c>
      <c r="I16" s="56">
        <f t="shared" ref="I16" si="1">H16*D16</f>
        <v>1497.6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4</v>
      </c>
      <c r="E18" s="35"/>
      <c r="F18" s="62">
        <f>SUM(F16:F17)</f>
        <v>1280</v>
      </c>
      <c r="G18" s="62">
        <f>SUM(G16:G17)</f>
        <v>217.60000000000002</v>
      </c>
      <c r="H18" s="35"/>
      <c r="I18" s="62">
        <f>SUM(I16:I17)</f>
        <v>1497.6</v>
      </c>
      <c r="J18" s="37"/>
    </row>
    <row r="19" spans="1:18" ht="15.75" thickTop="1" x14ac:dyDescent="0.25">
      <c r="A19" s="33"/>
      <c r="B19" s="34" t="s">
        <v>1331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1A290882-B5E9-440C-80EF-1C86D47F18B8}"/>
  </hyperlinks>
  <pageMargins left="0.2" right="0.1" top="0.25" bottom="0.25" header="0.3" footer="0.3"/>
  <pageSetup paperSize="9" orientation="portrait" r:id="rId2"/>
  <drawing r:id="rId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31A95-FF4E-492F-9BD1-26B890A349DD}">
  <dimension ref="A1:R29"/>
  <sheetViews>
    <sheetView topLeftCell="A7" workbookViewId="0">
      <selection activeCell="A16" sqref="A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1310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1324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1325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1326</v>
      </c>
      <c r="C16" s="53" t="s">
        <v>1234</v>
      </c>
      <c r="D16" s="79">
        <v>92</v>
      </c>
      <c r="E16" s="82">
        <v>25</v>
      </c>
      <c r="F16" s="56">
        <f>D16*E16</f>
        <v>2300</v>
      </c>
      <c r="G16" s="56">
        <f>F16*0.17</f>
        <v>391</v>
      </c>
      <c r="H16" s="74">
        <f>E16*1.17</f>
        <v>29.25</v>
      </c>
      <c r="I16" s="56">
        <f>H16*D16</f>
        <v>2691</v>
      </c>
      <c r="J16" s="83"/>
      <c r="M16" s="21">
        <f t="shared" ref="M16:M20" si="0">440*1.02</f>
        <v>448.8</v>
      </c>
      <c r="N16" s="66" t="e">
        <f>M16-#REF!</f>
        <v>#REF!</v>
      </c>
      <c r="O16" s="21" t="e">
        <f t="shared" ref="O16:O20" si="1">N16*D16</f>
        <v>#REF!</v>
      </c>
    </row>
    <row r="17" spans="1:18" s="21" customFormat="1" ht="15.75" x14ac:dyDescent="0.25">
      <c r="A17" s="53">
        <v>2</v>
      </c>
      <c r="B17" s="78" t="s">
        <v>1255</v>
      </c>
      <c r="C17" s="53" t="s">
        <v>1234</v>
      </c>
      <c r="D17" s="79">
        <v>6</v>
      </c>
      <c r="E17" s="82">
        <v>170</v>
      </c>
      <c r="F17" s="56">
        <f t="shared" ref="F17:F20" si="2">D17*E17</f>
        <v>1020</v>
      </c>
      <c r="G17" s="56">
        <f t="shared" ref="G17:G20" si="3">F17*0.17</f>
        <v>173.4</v>
      </c>
      <c r="H17" s="74">
        <f t="shared" ref="H17:H20" si="4">E17*1.17</f>
        <v>198.89999999999998</v>
      </c>
      <c r="I17" s="56">
        <f t="shared" ref="I17:I20" si="5">H17*D17</f>
        <v>1193.3999999999999</v>
      </c>
      <c r="J17" s="83"/>
      <c r="N17" s="66"/>
    </row>
    <row r="18" spans="1:18" s="21" customFormat="1" ht="15.75" x14ac:dyDescent="0.25">
      <c r="A18" s="53">
        <v>3</v>
      </c>
      <c r="B18" s="78" t="s">
        <v>1253</v>
      </c>
      <c r="C18" s="53" t="s">
        <v>1234</v>
      </c>
      <c r="D18" s="79">
        <v>157</v>
      </c>
      <c r="E18" s="82">
        <v>32</v>
      </c>
      <c r="F18" s="56">
        <f t="shared" ref="F18" si="6">D18*E18</f>
        <v>5024</v>
      </c>
      <c r="G18" s="56">
        <f t="shared" si="3"/>
        <v>854.08</v>
      </c>
      <c r="H18" s="74">
        <f t="shared" ref="H18" si="7">E18*1.17</f>
        <v>37.44</v>
      </c>
      <c r="I18" s="56">
        <f t="shared" ref="I18" si="8">H18*D18</f>
        <v>5878.08</v>
      </c>
      <c r="J18" s="83"/>
      <c r="N18" s="66"/>
    </row>
    <row r="19" spans="1:18" s="21" customFormat="1" ht="15.75" x14ac:dyDescent="0.25">
      <c r="A19" s="53">
        <v>4</v>
      </c>
      <c r="B19" s="78" t="s">
        <v>1248</v>
      </c>
      <c r="C19" s="53" t="s">
        <v>1234</v>
      </c>
      <c r="D19" s="79">
        <v>252</v>
      </c>
      <c r="E19" s="82">
        <v>6</v>
      </c>
      <c r="F19" s="56">
        <f t="shared" si="2"/>
        <v>1512</v>
      </c>
      <c r="G19" s="56">
        <f t="shared" si="3"/>
        <v>257.04000000000002</v>
      </c>
      <c r="H19" s="74">
        <f t="shared" si="4"/>
        <v>7.02</v>
      </c>
      <c r="I19" s="56">
        <f t="shared" si="5"/>
        <v>1769.04</v>
      </c>
      <c r="J19" s="83"/>
      <c r="N19" s="66"/>
    </row>
    <row r="20" spans="1:18" s="21" customFormat="1" x14ac:dyDescent="0.25">
      <c r="A20" s="53"/>
      <c r="B20" s="47"/>
      <c r="C20" s="82"/>
      <c r="D20" s="57"/>
      <c r="E20" s="56"/>
      <c r="F20" s="56">
        <f t="shared" si="2"/>
        <v>0</v>
      </c>
      <c r="G20" s="56">
        <f t="shared" si="3"/>
        <v>0</v>
      </c>
      <c r="H20" s="57">
        <f t="shared" si="4"/>
        <v>0</v>
      </c>
      <c r="I20" s="56">
        <f t="shared" si="5"/>
        <v>0</v>
      </c>
      <c r="J20" s="58"/>
      <c r="M20" s="21">
        <f t="shared" si="0"/>
        <v>448.8</v>
      </c>
      <c r="N20" s="66" t="e">
        <f>M20-#REF!</f>
        <v>#REF!</v>
      </c>
      <c r="O20" s="21" t="e">
        <f t="shared" si="1"/>
        <v>#REF!</v>
      </c>
    </row>
    <row r="21" spans="1:18" ht="15.75" thickBot="1" x14ac:dyDescent="0.3">
      <c r="A21" s="33"/>
      <c r="B21" s="34" t="s">
        <v>24</v>
      </c>
      <c r="C21" s="35"/>
      <c r="D21" s="62">
        <f>SUM(D16:D20)</f>
        <v>507</v>
      </c>
      <c r="E21" s="35"/>
      <c r="F21" s="62">
        <f>SUM(F16:F20)</f>
        <v>9856</v>
      </c>
      <c r="G21" s="62">
        <f>SUM(G16:G20)</f>
        <v>1675.52</v>
      </c>
      <c r="H21" s="35"/>
      <c r="I21" s="62">
        <f>SUM(I16:I20)</f>
        <v>11531.52</v>
      </c>
      <c r="J21" s="37"/>
      <c r="M21" t="e">
        <f>#REF!/117*100</f>
        <v>#REF!</v>
      </c>
      <c r="O21" t="e">
        <f>M21*1.1</f>
        <v>#REF!</v>
      </c>
    </row>
    <row r="22" spans="1:18" ht="15.75" thickTop="1" x14ac:dyDescent="0.25">
      <c r="A22" s="33"/>
      <c r="B22" s="34" t="s">
        <v>1327</v>
      </c>
      <c r="C22" s="35"/>
      <c r="D22" s="35"/>
      <c r="E22" s="35"/>
      <c r="F22" s="35"/>
      <c r="G22" s="35"/>
      <c r="H22" s="35"/>
      <c r="I22" s="35"/>
      <c r="J22" s="37"/>
    </row>
    <row r="23" spans="1:18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  <c r="M23" s="64" t="e">
        <f>M21*#REF!</f>
        <v>#REF!</v>
      </c>
      <c r="O23" s="65" t="e">
        <f>#REF!</f>
        <v>#REF!</v>
      </c>
      <c r="P23" s="64" t="e">
        <f>O23-M23</f>
        <v>#REF!</v>
      </c>
      <c r="Q23" s="64" t="e">
        <f>#REF!*0.045</f>
        <v>#REF!</v>
      </c>
      <c r="R23" s="64" t="e">
        <f>P23-Q23</f>
        <v>#REF!</v>
      </c>
    </row>
    <row r="24" spans="1:18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  <c r="P24" s="64"/>
      <c r="R24" s="65" t="e">
        <f>#REF!-#REF!</f>
        <v>#REF!</v>
      </c>
    </row>
    <row r="25" spans="1:18" x14ac:dyDescent="0.25">
      <c r="B25" t="s">
        <v>634</v>
      </c>
    </row>
    <row r="28" spans="1:18" x14ac:dyDescent="0.25">
      <c r="B28" t="s">
        <v>28</v>
      </c>
      <c r="H28" t="s">
        <v>28</v>
      </c>
    </row>
    <row r="29" spans="1:18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495886A0-C59E-4339-B829-DC9191B068D8}"/>
  </hyperlinks>
  <pageMargins left="0.2" right="0.1" top="0.25" bottom="0.25" header="0.3" footer="0.3"/>
  <pageSetup paperSize="9" orientation="portrait" r:id="rId2"/>
  <drawing r:id="rId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06730-CEEF-4D2B-8A64-32479D2F6FE1}">
  <dimension ref="A1:R28"/>
  <sheetViews>
    <sheetView topLeftCell="A7" workbookViewId="0">
      <selection activeCell="E17" sqref="E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1310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1318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1319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1320</v>
      </c>
      <c r="C16" s="53" t="s">
        <v>1234</v>
      </c>
      <c r="D16" s="79">
        <v>11</v>
      </c>
      <c r="E16" s="82">
        <v>320</v>
      </c>
      <c r="F16" s="56">
        <f>D16*E16</f>
        <v>3520</v>
      </c>
      <c r="G16" s="56">
        <f>F16*0.17</f>
        <v>598.40000000000009</v>
      </c>
      <c r="H16" s="74">
        <f>E16*1.17</f>
        <v>374.4</v>
      </c>
      <c r="I16" s="56">
        <f>H16*D16</f>
        <v>4118.3999999999996</v>
      </c>
      <c r="J16" s="83"/>
      <c r="M16" s="21">
        <f t="shared" ref="M16:M19" si="0">440*1.02</f>
        <v>448.8</v>
      </c>
      <c r="N16" s="66" t="e">
        <f>M16-#REF!</f>
        <v>#REF!</v>
      </c>
      <c r="O16" s="21" t="e">
        <f t="shared" ref="O16:O19" si="1">N16*D16</f>
        <v>#REF!</v>
      </c>
    </row>
    <row r="17" spans="1:18" s="21" customFormat="1" ht="25.5" x14ac:dyDescent="0.25">
      <c r="A17" s="53">
        <v>2</v>
      </c>
      <c r="B17" s="78" t="s">
        <v>1321</v>
      </c>
      <c r="C17" s="53" t="s">
        <v>1234</v>
      </c>
      <c r="D17" s="79">
        <v>66</v>
      </c>
      <c r="E17" s="82">
        <v>120</v>
      </c>
      <c r="F17" s="56">
        <f t="shared" ref="F17:F18" si="2">D17*E17</f>
        <v>7920</v>
      </c>
      <c r="G17" s="56">
        <f t="shared" ref="G17:G18" si="3">F17*0.17</f>
        <v>1346.4</v>
      </c>
      <c r="H17" s="74">
        <f t="shared" ref="H17:H18" si="4">E17*1.17</f>
        <v>140.39999999999998</v>
      </c>
      <c r="I17" s="56">
        <f t="shared" ref="I17:I18" si="5">H17*D17</f>
        <v>9266.3999999999978</v>
      </c>
      <c r="J17" s="83"/>
      <c r="N17" s="66"/>
    </row>
    <row r="18" spans="1:18" s="21" customFormat="1" ht="15.75" x14ac:dyDescent="0.25">
      <c r="A18" s="53">
        <v>3</v>
      </c>
      <c r="B18" s="78" t="s">
        <v>1322</v>
      </c>
      <c r="C18" s="53" t="s">
        <v>1234</v>
      </c>
      <c r="D18" s="79">
        <v>16</v>
      </c>
      <c r="E18" s="82">
        <v>140</v>
      </c>
      <c r="F18" s="56">
        <f t="shared" si="2"/>
        <v>2240</v>
      </c>
      <c r="G18" s="56">
        <f t="shared" si="3"/>
        <v>380.8</v>
      </c>
      <c r="H18" s="74">
        <f t="shared" si="4"/>
        <v>163.79999999999998</v>
      </c>
      <c r="I18" s="56">
        <f t="shared" si="5"/>
        <v>2620.7999999999997</v>
      </c>
      <c r="J18" s="83"/>
      <c r="N18" s="66"/>
    </row>
    <row r="19" spans="1:18" s="21" customFormat="1" x14ac:dyDescent="0.25">
      <c r="A19" s="53"/>
      <c r="B19" s="47"/>
      <c r="C19" s="82"/>
      <c r="D19" s="57"/>
      <c r="E19" s="56"/>
      <c r="F19" s="56">
        <f t="shared" ref="F19" si="6">D19*E19</f>
        <v>0</v>
      </c>
      <c r="G19" s="56">
        <f t="shared" ref="G19" si="7">F19*0.17</f>
        <v>0</v>
      </c>
      <c r="H19" s="57">
        <f t="shared" ref="H19" si="8">E19*1.17</f>
        <v>0</v>
      </c>
      <c r="I19" s="56">
        <f t="shared" ref="I19" si="9">H19*D19</f>
        <v>0</v>
      </c>
      <c r="J19" s="58"/>
      <c r="M19" s="21">
        <f t="shared" si="0"/>
        <v>448.8</v>
      </c>
      <c r="N19" s="66" t="e">
        <f>M19-#REF!</f>
        <v>#REF!</v>
      </c>
      <c r="O19" s="21" t="e">
        <f t="shared" si="1"/>
        <v>#REF!</v>
      </c>
    </row>
    <row r="20" spans="1:18" ht="15.75" thickBot="1" x14ac:dyDescent="0.3">
      <c r="A20" s="33"/>
      <c r="B20" s="34" t="s">
        <v>24</v>
      </c>
      <c r="C20" s="35"/>
      <c r="D20" s="62">
        <f>SUM(D16:D19)</f>
        <v>93</v>
      </c>
      <c r="E20" s="35"/>
      <c r="F20" s="62">
        <f>SUM(F16:F19)</f>
        <v>13680</v>
      </c>
      <c r="G20" s="62">
        <f>SUM(G16:G19)</f>
        <v>2325.6000000000004</v>
      </c>
      <c r="H20" s="35"/>
      <c r="I20" s="62">
        <f>SUM(I16:I19)</f>
        <v>16005.599999999997</v>
      </c>
      <c r="J20" s="37"/>
      <c r="M20" t="e">
        <f>#REF!/117*100</f>
        <v>#REF!</v>
      </c>
      <c r="O20" t="e">
        <f>M20*1.1</f>
        <v>#REF!</v>
      </c>
    </row>
    <row r="21" spans="1:18" ht="15.75" thickTop="1" x14ac:dyDescent="0.25">
      <c r="A21" s="33"/>
      <c r="B21" s="34" t="s">
        <v>1323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 t="e">
        <f>M20*#REF!</f>
        <v>#REF!</v>
      </c>
      <c r="O22" s="65" t="e">
        <f>#REF!</f>
        <v>#REF!</v>
      </c>
      <c r="P22" s="64" t="e">
        <f>O22-M22</f>
        <v>#REF!</v>
      </c>
      <c r="Q22" s="64" t="e">
        <f>#REF!*0.045</f>
        <v>#REF!</v>
      </c>
      <c r="R22" s="64" t="e">
        <f>P22-Q22</f>
        <v>#REF!</v>
      </c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 t="e">
        <f>#REF!-#REF!</f>
        <v>#REF!</v>
      </c>
    </row>
    <row r="24" spans="1:18" x14ac:dyDescent="0.25">
      <c r="B24" t="s">
        <v>634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09F37603-AAA8-483D-98EF-CE3C43197C6C}"/>
  </hyperlinks>
  <pageMargins left="0.2" right="0.1" top="0.25" bottom="0.25" header="0.3" footer="0.3"/>
  <pageSetup paperSize="9" orientation="portrait" r:id="rId2"/>
  <drawing r:id="rId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D574A-40A0-4560-B265-C05CDC611783}">
  <dimension ref="A1:R26"/>
  <sheetViews>
    <sheetView workbookViewId="0">
      <selection activeCell="A7" sqref="A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1310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1311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1316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25.5" x14ac:dyDescent="0.25">
      <c r="A16" s="53">
        <v>1</v>
      </c>
      <c r="B16" s="78" t="s">
        <v>1314</v>
      </c>
      <c r="C16" s="53" t="s">
        <v>1234</v>
      </c>
      <c r="D16" s="79">
        <v>1</v>
      </c>
      <c r="E16" s="82">
        <v>620</v>
      </c>
      <c r="F16" s="56">
        <f>D16*E16</f>
        <v>620</v>
      </c>
      <c r="G16" s="56">
        <f>F16*0.17</f>
        <v>105.4</v>
      </c>
      <c r="H16" s="74">
        <f>E16*1.17</f>
        <v>725.4</v>
      </c>
      <c r="I16" s="56">
        <f>H16*D16</f>
        <v>725.4</v>
      </c>
      <c r="J16" s="83"/>
      <c r="M16" s="21">
        <f t="shared" ref="M16:M17" si="0">440*1.02</f>
        <v>448.8</v>
      </c>
      <c r="N16" s="66" t="e">
        <f>M16-#REF!</f>
        <v>#REF!</v>
      </c>
      <c r="O16" s="21" t="e">
        <f t="shared" ref="O16:O17" si="1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ref="F17" si="2">D17*E17</f>
        <v>0</v>
      </c>
      <c r="G17" s="56">
        <f t="shared" ref="G17" si="3">F17*0.17</f>
        <v>0</v>
      </c>
      <c r="H17" s="57">
        <f t="shared" ref="H17" si="4">E17*1.17</f>
        <v>0</v>
      </c>
      <c r="I17" s="56">
        <f t="shared" ref="I17" si="5">H17*D17</f>
        <v>0</v>
      </c>
      <c r="J17" s="58"/>
      <c r="M17" s="21">
        <f t="shared" si="0"/>
        <v>448.8</v>
      </c>
      <c r="N17" s="66" t="e">
        <f>M17-#REF!</f>
        <v>#REF!</v>
      </c>
      <c r="O17" s="21" t="e">
        <f t="shared" si="1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1</v>
      </c>
      <c r="E18" s="35"/>
      <c r="F18" s="62">
        <f>SUM(F16:F17)</f>
        <v>620</v>
      </c>
      <c r="G18" s="62">
        <f>SUM(G16:G17)</f>
        <v>105.4</v>
      </c>
      <c r="H18" s="35"/>
      <c r="I18" s="62">
        <f>SUM(I16:I17)</f>
        <v>725.4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1317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26448292-B257-4832-B97F-A171B66DEC8C}"/>
  </hyperlinks>
  <pageMargins left="0.2" right="0.1" top="0.25" bottom="0.25" header="0.3" footer="0.3"/>
  <pageSetup paperSize="9" orientation="portrait" r:id="rId2"/>
  <drawing r:id="rId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61865-04EB-4151-B40D-C93E081B3F98}">
  <dimension ref="A1:R26"/>
  <sheetViews>
    <sheetView workbookViewId="0">
      <selection activeCell="B14" sqref="B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1310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1312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1313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25.5" x14ac:dyDescent="0.25">
      <c r="A16" s="53">
        <v>1</v>
      </c>
      <c r="B16" s="78" t="s">
        <v>1314</v>
      </c>
      <c r="C16" s="53" t="s">
        <v>1234</v>
      </c>
      <c r="D16" s="79">
        <v>3</v>
      </c>
      <c r="E16" s="82">
        <v>620</v>
      </c>
      <c r="F16" s="56">
        <f>D16*E16</f>
        <v>1860</v>
      </c>
      <c r="G16" s="56">
        <f>F16*0.17</f>
        <v>316.20000000000005</v>
      </c>
      <c r="H16" s="74">
        <f>E16*1.17</f>
        <v>725.4</v>
      </c>
      <c r="I16" s="56">
        <f>H16*D16</f>
        <v>2176.1999999999998</v>
      </c>
      <c r="J16" s="83"/>
      <c r="M16" s="21">
        <f t="shared" ref="M16:M17" si="0">440*1.02</f>
        <v>448.8</v>
      </c>
      <c r="N16" s="66" t="e">
        <f>M16-#REF!</f>
        <v>#REF!</v>
      </c>
      <c r="O16" s="21" t="e">
        <f t="shared" ref="O16:O17" si="1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ref="F17" si="2">D17*E17</f>
        <v>0</v>
      </c>
      <c r="G17" s="56">
        <f t="shared" ref="G17" si="3">F17*0.17</f>
        <v>0</v>
      </c>
      <c r="H17" s="57">
        <f t="shared" ref="H17" si="4">E17*1.17</f>
        <v>0</v>
      </c>
      <c r="I17" s="56">
        <f t="shared" ref="I17" si="5">H17*D17</f>
        <v>0</v>
      </c>
      <c r="J17" s="58"/>
      <c r="M17" s="21">
        <f t="shared" si="0"/>
        <v>448.8</v>
      </c>
      <c r="N17" s="66" t="e">
        <f>M17-#REF!</f>
        <v>#REF!</v>
      </c>
      <c r="O17" s="21" t="e">
        <f t="shared" si="1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3</v>
      </c>
      <c r="E18" s="35"/>
      <c r="F18" s="62">
        <f>SUM(F16:F17)</f>
        <v>1860</v>
      </c>
      <c r="G18" s="62">
        <f>SUM(G16:G17)</f>
        <v>316.20000000000005</v>
      </c>
      <c r="H18" s="35"/>
      <c r="I18" s="62">
        <f>SUM(I16:I17)</f>
        <v>2176.1999999999998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1315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5CC81413-6436-4C5C-AC29-A798F43CD51C}"/>
  </hyperlinks>
  <pageMargins left="0.2" right="0.1" top="0.25" bottom="0.25" header="0.3" footer="0.3"/>
  <pageSetup paperSize="9" orientation="portrait" r:id="rId2"/>
  <drawing r:id="rId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D885D-EB3C-4EA0-8125-384E6A96A291}">
  <dimension ref="A1:R32"/>
  <sheetViews>
    <sheetView topLeftCell="A7" workbookViewId="0">
      <selection activeCell="F21" activeCellId="1" sqref="F17:F19 F2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1301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1300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1309</v>
      </c>
      <c r="J9" s="188"/>
    </row>
    <row r="10" spans="1:15" x14ac:dyDescent="0.25">
      <c r="B10" t="s">
        <v>9</v>
      </c>
      <c r="C10" s="10" t="s">
        <v>754</v>
      </c>
      <c r="D10" s="10"/>
      <c r="E10" s="10"/>
      <c r="F10" s="10"/>
    </row>
    <row r="11" spans="1:15" x14ac:dyDescent="0.25">
      <c r="B11" t="s">
        <v>11</v>
      </c>
      <c r="C11" s="10" t="s">
        <v>755</v>
      </c>
      <c r="D11" s="11"/>
      <c r="E11" s="11"/>
      <c r="F11" s="11"/>
    </row>
    <row r="12" spans="1:15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1302</v>
      </c>
      <c r="C16" s="53" t="s">
        <v>987</v>
      </c>
      <c r="D16" s="79">
        <v>50</v>
      </c>
      <c r="E16" s="56">
        <v>88</v>
      </c>
      <c r="F16" s="56">
        <f>D16*E16</f>
        <v>4400</v>
      </c>
      <c r="G16" s="56">
        <f t="shared" ref="G16:G23" si="0">F16*0.17</f>
        <v>748</v>
      </c>
      <c r="H16" s="74">
        <f t="shared" ref="H16:H23" si="1">E16*1.17</f>
        <v>102.96</v>
      </c>
      <c r="I16" s="56">
        <f>H16*D16</f>
        <v>5148</v>
      </c>
      <c r="J16" s="83"/>
      <c r="M16" s="21">
        <f t="shared" ref="M16:M23" si="2">440*1.02</f>
        <v>448.8</v>
      </c>
      <c r="N16" s="66" t="e">
        <f>M16-#REF!</f>
        <v>#REF!</v>
      </c>
      <c r="O16" s="21" t="e">
        <f t="shared" ref="O16:O23" si="3">N16*D16</f>
        <v>#REF!</v>
      </c>
    </row>
    <row r="17" spans="1:18" s="21" customFormat="1" ht="15.75" x14ac:dyDescent="0.25">
      <c r="A17" s="53">
        <v>2</v>
      </c>
      <c r="B17" s="78" t="s">
        <v>1303</v>
      </c>
      <c r="C17" s="53" t="s">
        <v>987</v>
      </c>
      <c r="D17" s="79">
        <v>1000</v>
      </c>
      <c r="E17" s="56">
        <v>6</v>
      </c>
      <c r="F17" s="56">
        <f t="shared" ref="F17:F22" si="4">D17*E17</f>
        <v>6000</v>
      </c>
      <c r="G17" s="56">
        <f>F17*0</f>
        <v>0</v>
      </c>
      <c r="H17" s="74">
        <f>E17*1</f>
        <v>6</v>
      </c>
      <c r="I17" s="56">
        <f t="shared" ref="I17:I22" si="5">H17*D17</f>
        <v>6000</v>
      </c>
      <c r="J17" s="83"/>
      <c r="N17" s="66"/>
    </row>
    <row r="18" spans="1:18" s="21" customFormat="1" ht="15.75" x14ac:dyDescent="0.25">
      <c r="A18" s="53">
        <v>3</v>
      </c>
      <c r="B18" s="78" t="s">
        <v>1304</v>
      </c>
      <c r="C18" s="53" t="s">
        <v>987</v>
      </c>
      <c r="D18" s="79">
        <v>288</v>
      </c>
      <c r="E18" s="56">
        <v>7</v>
      </c>
      <c r="F18" s="56">
        <f t="shared" si="4"/>
        <v>2016</v>
      </c>
      <c r="G18" s="56">
        <f>F18*0</f>
        <v>0</v>
      </c>
      <c r="H18" s="74">
        <f>E18*1</f>
        <v>7</v>
      </c>
      <c r="I18" s="56">
        <f t="shared" si="5"/>
        <v>2016</v>
      </c>
      <c r="J18" s="83"/>
      <c r="N18" s="66"/>
    </row>
    <row r="19" spans="1:18" s="21" customFormat="1" ht="15.75" x14ac:dyDescent="0.25">
      <c r="A19" s="53">
        <v>4</v>
      </c>
      <c r="B19" s="78" t="s">
        <v>1305</v>
      </c>
      <c r="C19" s="53" t="s">
        <v>987</v>
      </c>
      <c r="D19" s="79">
        <v>200</v>
      </c>
      <c r="E19" s="56">
        <v>6</v>
      </c>
      <c r="F19" s="56">
        <f t="shared" si="4"/>
        <v>1200</v>
      </c>
      <c r="G19" s="56">
        <f>F19*0</f>
        <v>0</v>
      </c>
      <c r="H19" s="74">
        <f>E19*1</f>
        <v>6</v>
      </c>
      <c r="I19" s="56">
        <f t="shared" si="5"/>
        <v>1200</v>
      </c>
      <c r="J19" s="83"/>
      <c r="N19" s="66"/>
    </row>
    <row r="20" spans="1:18" s="21" customFormat="1" ht="15.75" x14ac:dyDescent="0.25">
      <c r="A20" s="53">
        <v>5</v>
      </c>
      <c r="B20" s="78" t="s">
        <v>1306</v>
      </c>
      <c r="C20" s="53" t="s">
        <v>76</v>
      </c>
      <c r="D20" s="79">
        <v>36</v>
      </c>
      <c r="E20" s="56">
        <v>132</v>
      </c>
      <c r="F20" s="56">
        <f t="shared" si="4"/>
        <v>4752</v>
      </c>
      <c r="G20" s="56">
        <f t="shared" ref="G20" si="6">F20*0.17</f>
        <v>807.84</v>
      </c>
      <c r="H20" s="74">
        <f t="shared" ref="H20:H22" si="7">E20*1.17</f>
        <v>154.44</v>
      </c>
      <c r="I20" s="56">
        <f t="shared" si="5"/>
        <v>5559.84</v>
      </c>
      <c r="J20" s="83"/>
      <c r="N20" s="66"/>
    </row>
    <row r="21" spans="1:18" s="21" customFormat="1" ht="15.75" x14ac:dyDescent="0.25">
      <c r="A21" s="53">
        <v>6</v>
      </c>
      <c r="B21" s="78" t="s">
        <v>1307</v>
      </c>
      <c r="C21" s="53" t="s">
        <v>987</v>
      </c>
      <c r="D21" s="79">
        <v>48</v>
      </c>
      <c r="E21" s="56">
        <v>25</v>
      </c>
      <c r="F21" s="56">
        <f t="shared" si="4"/>
        <v>1200</v>
      </c>
      <c r="G21" s="56">
        <f>F21*0</f>
        <v>0</v>
      </c>
      <c r="H21" s="74">
        <f>E21*1</f>
        <v>25</v>
      </c>
      <c r="I21" s="56">
        <f t="shared" si="5"/>
        <v>1200</v>
      </c>
      <c r="J21" s="83"/>
      <c r="N21" s="66"/>
    </row>
    <row r="22" spans="1:18" s="21" customFormat="1" ht="15.75" x14ac:dyDescent="0.25">
      <c r="A22" s="53">
        <v>7</v>
      </c>
      <c r="B22" s="78" t="s">
        <v>45</v>
      </c>
      <c r="C22" s="53" t="s">
        <v>987</v>
      </c>
      <c r="D22" s="79">
        <v>12</v>
      </c>
      <c r="E22" s="56">
        <v>40</v>
      </c>
      <c r="F22" s="56">
        <f t="shared" si="4"/>
        <v>480</v>
      </c>
      <c r="G22" s="56">
        <f>F22*0.17</f>
        <v>81.600000000000009</v>
      </c>
      <c r="H22" s="74">
        <f t="shared" si="7"/>
        <v>46.8</v>
      </c>
      <c r="I22" s="56">
        <f t="shared" si="5"/>
        <v>561.59999999999991</v>
      </c>
      <c r="J22" s="83"/>
      <c r="N22" s="66"/>
    </row>
    <row r="23" spans="1:18" s="21" customFormat="1" x14ac:dyDescent="0.25">
      <c r="A23" s="53"/>
      <c r="B23" s="47"/>
      <c r="C23" s="82"/>
      <c r="D23" s="57"/>
      <c r="E23" s="56"/>
      <c r="F23" s="56">
        <f t="shared" ref="F23" si="8">D23*E23</f>
        <v>0</v>
      </c>
      <c r="G23" s="56">
        <f t="shared" si="0"/>
        <v>0</v>
      </c>
      <c r="H23" s="57">
        <f t="shared" si="1"/>
        <v>0</v>
      </c>
      <c r="I23" s="56">
        <f t="shared" ref="I23" si="9">H23*D23</f>
        <v>0</v>
      </c>
      <c r="J23" s="58"/>
      <c r="M23" s="21">
        <f t="shared" si="2"/>
        <v>448.8</v>
      </c>
      <c r="N23" s="66" t="e">
        <f>M23-#REF!</f>
        <v>#REF!</v>
      </c>
      <c r="O23" s="21" t="e">
        <f t="shared" si="3"/>
        <v>#REF!</v>
      </c>
    </row>
    <row r="24" spans="1:18" ht="15.75" thickBot="1" x14ac:dyDescent="0.3">
      <c r="A24" s="33"/>
      <c r="B24" s="34" t="s">
        <v>24</v>
      </c>
      <c r="C24" s="35"/>
      <c r="D24" s="62">
        <f>SUM(D16:D23)</f>
        <v>1634</v>
      </c>
      <c r="E24" s="35"/>
      <c r="F24" s="62">
        <f>SUM(F16:F23)</f>
        <v>20048</v>
      </c>
      <c r="G24" s="62">
        <f>SUM(G16:G23)</f>
        <v>1637.44</v>
      </c>
      <c r="H24" s="35"/>
      <c r="I24" s="62">
        <f>SUM(I16:I23)</f>
        <v>21685.439999999999</v>
      </c>
      <c r="J24" s="37"/>
      <c r="M24" t="e">
        <f>#REF!/117*100</f>
        <v>#REF!</v>
      </c>
      <c r="O24" t="e">
        <f>M24*1.1</f>
        <v>#REF!</v>
      </c>
    </row>
    <row r="25" spans="1:18" ht="15.75" thickTop="1" x14ac:dyDescent="0.25">
      <c r="A25" s="33"/>
      <c r="B25" s="34" t="s">
        <v>1308</v>
      </c>
      <c r="C25" s="35"/>
      <c r="D25" s="35"/>
      <c r="E25" s="35"/>
      <c r="F25" s="35"/>
      <c r="G25" s="35"/>
      <c r="H25" s="35"/>
      <c r="I25" s="35"/>
      <c r="J25" s="37"/>
    </row>
    <row r="26" spans="1:18" x14ac:dyDescent="0.25">
      <c r="A26" s="33"/>
      <c r="B26" s="38" t="s">
        <v>25</v>
      </c>
      <c r="C26" s="35"/>
      <c r="D26" s="35"/>
      <c r="E26" s="35"/>
      <c r="F26" s="35"/>
      <c r="G26" s="35"/>
      <c r="H26" s="35"/>
      <c r="I26" s="35"/>
      <c r="J26" s="37"/>
      <c r="M26" s="64" t="e">
        <f>M24*#REF!</f>
        <v>#REF!</v>
      </c>
      <c r="O26" s="65" t="e">
        <f>#REF!</f>
        <v>#REF!</v>
      </c>
      <c r="P26" s="64" t="e">
        <f>O26-M26</f>
        <v>#REF!</v>
      </c>
      <c r="Q26" s="64" t="e">
        <f>#REF!*0.045</f>
        <v>#REF!</v>
      </c>
      <c r="R26" s="64" t="e">
        <f>P26-Q26</f>
        <v>#REF!</v>
      </c>
    </row>
    <row r="27" spans="1:18" ht="30" customHeight="1" x14ac:dyDescent="0.25">
      <c r="B27" s="183" t="s">
        <v>26</v>
      </c>
      <c r="C27" s="183"/>
      <c r="D27" s="183"/>
      <c r="E27" s="183"/>
      <c r="F27" s="183"/>
      <c r="G27" s="183"/>
      <c r="H27" s="183"/>
      <c r="I27" s="183"/>
      <c r="J27" s="183"/>
      <c r="P27" s="64"/>
      <c r="R27" s="65" t="e">
        <f>#REF!-#REF!</f>
        <v>#REF!</v>
      </c>
    </row>
    <row r="28" spans="1:18" x14ac:dyDescent="0.25">
      <c r="B28" t="s">
        <v>634</v>
      </c>
    </row>
    <row r="31" spans="1:18" x14ac:dyDescent="0.25">
      <c r="B31" t="s">
        <v>28</v>
      </c>
      <c r="H31" t="s">
        <v>28</v>
      </c>
    </row>
    <row r="32" spans="1:18" x14ac:dyDescent="0.25">
      <c r="B32" t="s">
        <v>29</v>
      </c>
      <c r="H32" t="s">
        <v>30</v>
      </c>
    </row>
  </sheetData>
  <autoFilter ref="A15:J28" xr:uid="{00000000-0009-0000-0000-000000000000}"/>
  <mergeCells count="5">
    <mergeCell ref="A6:J6"/>
    <mergeCell ref="I7:J7"/>
    <mergeCell ref="I8:J8"/>
    <mergeCell ref="I9:J9"/>
    <mergeCell ref="B27:J27"/>
  </mergeCells>
  <hyperlinks>
    <hyperlink ref="H5" r:id="rId1" xr:uid="{104520A0-53CB-4FA1-8B26-CFBFE3B89724}"/>
  </hyperlinks>
  <pageMargins left="0.2" right="0.1" top="0.25" bottom="0.25" header="0.3" footer="0.3"/>
  <pageSetup paperSize="9" orientation="portrait" r:id="rId2"/>
  <drawing r:id="rId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7684D-3ECF-4E23-BA73-582FB02FDA1A}">
  <dimension ref="A1:J25"/>
  <sheetViews>
    <sheetView workbookViewId="0">
      <selection activeCell="A6" sqref="A6:J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1292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1298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1299</v>
      </c>
      <c r="J9" s="188"/>
    </row>
    <row r="10" spans="1:10" x14ac:dyDescent="0.25">
      <c r="B10" t="s">
        <v>9</v>
      </c>
      <c r="C10" s="10" t="s">
        <v>1063</v>
      </c>
      <c r="D10" s="10"/>
      <c r="E10" s="10"/>
      <c r="F10" s="10"/>
    </row>
    <row r="11" spans="1:10" x14ac:dyDescent="0.25">
      <c r="B11" t="s">
        <v>11</v>
      </c>
      <c r="C11" s="11" t="s">
        <v>1222</v>
      </c>
      <c r="D11" s="11"/>
      <c r="E11" s="11"/>
      <c r="F11" s="11"/>
    </row>
    <row r="12" spans="1:10" x14ac:dyDescent="0.25">
      <c r="A12" s="12"/>
      <c r="B12" s="13"/>
      <c r="C12" s="11" t="s">
        <v>1223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1113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1058</v>
      </c>
      <c r="C16" s="54" t="s">
        <v>23</v>
      </c>
      <c r="D16" s="72">
        <v>4</v>
      </c>
      <c r="E16" s="56">
        <v>7500</v>
      </c>
      <c r="F16" s="56">
        <f t="shared" ref="F16" si="0">D16*E16</f>
        <v>30000</v>
      </c>
      <c r="G16" s="56">
        <f>F16*0.17</f>
        <v>5100</v>
      </c>
      <c r="H16" s="84">
        <f>E16*1.17</f>
        <v>8775</v>
      </c>
      <c r="I16" s="56">
        <f t="shared" ref="I16" si="1">H16*D16</f>
        <v>35100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4</v>
      </c>
      <c r="E17" s="35"/>
      <c r="F17" s="62">
        <f>SUM(F16:F16)</f>
        <v>30000</v>
      </c>
      <c r="G17" s="62">
        <f>SUM(G16:G16)</f>
        <v>5100</v>
      </c>
      <c r="H17" s="35"/>
      <c r="I17" s="62">
        <f>SUM(I16:I16)</f>
        <v>35100</v>
      </c>
      <c r="J17" s="37"/>
    </row>
    <row r="18" spans="1:10" ht="15.75" thickTop="1" x14ac:dyDescent="0.25">
      <c r="A18" s="33"/>
      <c r="B18" s="34" t="s">
        <v>1291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C0127813-7FAF-4657-BA06-03FDE4012256}"/>
  </hyperlinks>
  <pageMargins left="0.2" right="0.1" top="0.25" bottom="0.25" header="0.3" footer="0.3"/>
  <pageSetup paperSize="9" orientation="portrait" r:id="rId2"/>
  <drawing r:id="rId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21961-FE84-411D-AE7E-032714FADE8A}">
  <dimension ref="A1:J28"/>
  <sheetViews>
    <sheetView topLeftCell="A6" workbookViewId="0">
      <selection activeCell="D18" sqref="D1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1292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1295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1296</v>
      </c>
      <c r="J9" s="188"/>
    </row>
    <row r="10" spans="1:10" x14ac:dyDescent="0.25">
      <c r="B10" t="s">
        <v>9</v>
      </c>
      <c r="C10" s="10" t="s">
        <v>1008</v>
      </c>
      <c r="D10" s="10"/>
      <c r="E10" s="10"/>
      <c r="F10" s="10"/>
    </row>
    <row r="11" spans="1:10" x14ac:dyDescent="0.25">
      <c r="B11" t="s">
        <v>11</v>
      </c>
      <c r="C11" s="10" t="s">
        <v>999</v>
      </c>
      <c r="D11" s="11"/>
      <c r="E11" s="11"/>
      <c r="F11" s="11"/>
    </row>
    <row r="12" spans="1:10" x14ac:dyDescent="0.25">
      <c r="A12" s="12"/>
      <c r="B12" s="13"/>
      <c r="C12" s="14" t="s">
        <v>1000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1009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1058</v>
      </c>
      <c r="C16" s="54" t="s">
        <v>23</v>
      </c>
      <c r="D16" s="72">
        <v>5</v>
      </c>
      <c r="E16" s="56">
        <v>7500</v>
      </c>
      <c r="F16" s="56">
        <f t="shared" ref="F16:F18" si="0">D16*E16</f>
        <v>37500</v>
      </c>
      <c r="G16" s="56">
        <f>F16*0.17</f>
        <v>6375.0000000000009</v>
      </c>
      <c r="H16" s="84">
        <f>E16*1.17</f>
        <v>8775</v>
      </c>
      <c r="I16" s="56">
        <f t="shared" ref="I16:I18" si="1">H16*D16</f>
        <v>43875</v>
      </c>
      <c r="J16" s="58"/>
    </row>
    <row r="17" spans="1:10" s="21" customFormat="1" ht="30" x14ac:dyDescent="0.25">
      <c r="A17" s="53">
        <v>2</v>
      </c>
      <c r="B17" s="47" t="s">
        <v>1010</v>
      </c>
      <c r="C17" s="54" t="s">
        <v>23</v>
      </c>
      <c r="D17" s="72">
        <v>5</v>
      </c>
      <c r="E17" s="56">
        <v>3000</v>
      </c>
      <c r="F17" s="56">
        <f t="shared" ref="F17" si="2">D17*E17</f>
        <v>15000</v>
      </c>
      <c r="G17" s="56">
        <f>F17*0.17</f>
        <v>2550</v>
      </c>
      <c r="H17" s="84">
        <f>E17*1.17</f>
        <v>3510</v>
      </c>
      <c r="I17" s="56">
        <f t="shared" ref="I17" si="3">H17*D17</f>
        <v>17550</v>
      </c>
      <c r="J17" s="58"/>
    </row>
    <row r="18" spans="1:10" s="21" customFormat="1" ht="30" x14ac:dyDescent="0.25">
      <c r="A18" s="53">
        <v>3</v>
      </c>
      <c r="B18" s="47" t="s">
        <v>1059</v>
      </c>
      <c r="C18" s="54" t="s">
        <v>23</v>
      </c>
      <c r="D18" s="72">
        <v>1</v>
      </c>
      <c r="E18" s="56">
        <v>2500</v>
      </c>
      <c r="F18" s="56">
        <f t="shared" si="0"/>
        <v>2500</v>
      </c>
      <c r="G18" s="56">
        <f>F18*0.17</f>
        <v>425.00000000000006</v>
      </c>
      <c r="H18" s="84">
        <f>E18*1.17</f>
        <v>2925</v>
      </c>
      <c r="I18" s="56">
        <f t="shared" si="1"/>
        <v>2925</v>
      </c>
      <c r="J18" s="58"/>
    </row>
    <row r="19" spans="1:10" s="21" customFormat="1" ht="30" x14ac:dyDescent="0.25">
      <c r="A19" s="53">
        <v>4</v>
      </c>
      <c r="B19" s="47" t="s">
        <v>1002</v>
      </c>
      <c r="C19" s="54" t="s">
        <v>23</v>
      </c>
      <c r="D19" s="72">
        <v>2</v>
      </c>
      <c r="E19" s="56">
        <v>3200</v>
      </c>
      <c r="F19" s="56">
        <f t="shared" ref="F19" si="4">D19*E19</f>
        <v>6400</v>
      </c>
      <c r="G19" s="56">
        <f>F19*0.17</f>
        <v>1088</v>
      </c>
      <c r="H19" s="84">
        <f>E19*1.17</f>
        <v>3744</v>
      </c>
      <c r="I19" s="56">
        <f t="shared" ref="I19" si="5">H19*D19</f>
        <v>7488</v>
      </c>
      <c r="J19" s="58"/>
    </row>
    <row r="20" spans="1:10" ht="15.75" thickBot="1" x14ac:dyDescent="0.3">
      <c r="A20" s="33"/>
      <c r="B20" s="34" t="s">
        <v>24</v>
      </c>
      <c r="C20" s="35"/>
      <c r="D20" s="62">
        <f>SUM(D16:D19)</f>
        <v>13</v>
      </c>
      <c r="E20" s="35"/>
      <c r="F20" s="62">
        <f t="shared" ref="F20:G20" si="6">SUM(F16:F19)</f>
        <v>61400</v>
      </c>
      <c r="G20" s="62">
        <f t="shared" si="6"/>
        <v>10438</v>
      </c>
      <c r="H20" s="35"/>
      <c r="I20" s="62">
        <f>SUM(I16:I19)</f>
        <v>71838</v>
      </c>
      <c r="J20" s="37"/>
    </row>
    <row r="21" spans="1:10" ht="15.75" thickTop="1" x14ac:dyDescent="0.25">
      <c r="A21" s="33"/>
      <c r="B21" s="34" t="s">
        <v>1297</v>
      </c>
      <c r="C21" s="35"/>
      <c r="D21" s="35"/>
      <c r="E21" s="35"/>
      <c r="F21" s="35"/>
      <c r="G21" s="35"/>
      <c r="H21" s="35"/>
      <c r="I21" s="35"/>
      <c r="J21" s="37"/>
    </row>
    <row r="22" spans="1:10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</row>
    <row r="23" spans="1:10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</row>
    <row r="24" spans="1:10" x14ac:dyDescent="0.25">
      <c r="B24" t="s">
        <v>634</v>
      </c>
    </row>
    <row r="27" spans="1:10" x14ac:dyDescent="0.25">
      <c r="B27" t="s">
        <v>28</v>
      </c>
      <c r="H27" t="s">
        <v>28</v>
      </c>
    </row>
    <row r="28" spans="1:10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667492AD-E3A8-4799-BCF2-B51851DCB9F5}"/>
  </hyperlinks>
  <pageMargins left="0.2" right="0.1" top="0.25" bottom="0.25" header="0.3" footer="0.3"/>
  <pageSetup paperSize="9" orientation="portrait" r:id="rId2"/>
  <drawing r:id="rId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377AC-950A-4475-AFDB-35B2A326C2DC}">
  <dimension ref="A1:O25"/>
  <sheetViews>
    <sheetView topLeftCell="A4" workbookViewId="0">
      <selection activeCell="E8" sqref="E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4" max="15" width="10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1004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1005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1292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1293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1294</v>
      </c>
      <c r="J9" s="188"/>
    </row>
    <row r="10" spans="1:15" x14ac:dyDescent="0.25">
      <c r="B10" t="s">
        <v>9</v>
      </c>
      <c r="C10" s="10" t="s">
        <v>1067</v>
      </c>
      <c r="D10" s="10"/>
      <c r="E10" s="10"/>
      <c r="F10" s="10"/>
    </row>
    <row r="11" spans="1:15" x14ac:dyDescent="0.25">
      <c r="B11" t="s">
        <v>11</v>
      </c>
      <c r="C11" s="10" t="s">
        <v>1068</v>
      </c>
      <c r="D11" s="11"/>
      <c r="E11" s="11"/>
      <c r="F11" s="11"/>
    </row>
    <row r="12" spans="1:15" x14ac:dyDescent="0.25">
      <c r="A12" s="12"/>
      <c r="B12" s="13"/>
      <c r="C12" s="14" t="s">
        <v>1069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1070</v>
      </c>
      <c r="D13" s="15"/>
      <c r="E13" s="15"/>
      <c r="F13" s="15"/>
      <c r="G13" s="16"/>
      <c r="H13" s="16"/>
      <c r="I13" s="16"/>
    </row>
    <row r="14" spans="1:15" ht="5.0999999999999996" customHeight="1" thickBot="1" x14ac:dyDescent="0.3">
      <c r="C14" s="14"/>
    </row>
    <row r="15" spans="1:15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  <c r="M15" s="135" t="s">
        <v>1920</v>
      </c>
      <c r="N15" s="136">
        <v>0.88</v>
      </c>
      <c r="O15" s="135"/>
    </row>
    <row r="16" spans="1:15" s="21" customFormat="1" ht="30" x14ac:dyDescent="0.25">
      <c r="A16" s="53">
        <v>1</v>
      </c>
      <c r="B16" s="47" t="s">
        <v>1058</v>
      </c>
      <c r="C16" s="54" t="s">
        <v>23</v>
      </c>
      <c r="D16" s="72">
        <v>4</v>
      </c>
      <c r="E16" s="56">
        <v>7500</v>
      </c>
      <c r="F16" s="56">
        <f t="shared" ref="F16" si="0">D16*E16</f>
        <v>30000</v>
      </c>
      <c r="G16" s="56">
        <f>F16*0.17</f>
        <v>5100</v>
      </c>
      <c r="H16" s="84">
        <f>E16*1.17</f>
        <v>8775</v>
      </c>
      <c r="I16" s="56">
        <f t="shared" ref="I16" si="1">H16*D16</f>
        <v>35100</v>
      </c>
      <c r="J16" s="58"/>
      <c r="M16" s="137">
        <v>6000</v>
      </c>
      <c r="N16" s="138">
        <f>F16*0.88</f>
        <v>26400</v>
      </c>
      <c r="O16" s="138">
        <f>N16-M16</f>
        <v>20400</v>
      </c>
    </row>
    <row r="17" spans="1:10" ht="15.75" thickBot="1" x14ac:dyDescent="0.3">
      <c r="A17" s="33"/>
      <c r="B17" s="34" t="s">
        <v>24</v>
      </c>
      <c r="C17" s="35"/>
      <c r="D17" s="62">
        <f>SUM(D16:D16)</f>
        <v>4</v>
      </c>
      <c r="E17" s="35"/>
      <c r="F17" s="62">
        <f>SUM(F16:F16)</f>
        <v>30000</v>
      </c>
      <c r="G17" s="62">
        <f>SUM(G16:G16)</f>
        <v>5100</v>
      </c>
      <c r="H17" s="35"/>
      <c r="I17" s="62">
        <f>SUM(I16:I16)</f>
        <v>35100</v>
      </c>
      <c r="J17" s="37"/>
    </row>
    <row r="18" spans="1:10" ht="15.75" thickTop="1" x14ac:dyDescent="0.25">
      <c r="A18" s="33"/>
      <c r="B18" s="34" t="s">
        <v>1291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C224542D-4076-4A3C-B7FE-74F3F1FAB4EA}"/>
  </hyperlinks>
  <pageMargins left="0.2" right="0.1" top="0.25" bottom="0.25" header="0.3" footer="0.3"/>
  <pageSetup paperSize="9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C77B3-7579-48B6-A3B4-FBAFCA4FC804}">
  <sheetPr filterMode="1"/>
  <dimension ref="A1:R40"/>
  <sheetViews>
    <sheetView topLeftCell="A9" workbookViewId="0">
      <selection activeCell="F16" sqref="F16:F2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2276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1519</v>
      </c>
      <c r="C16" s="53" t="s">
        <v>1506</v>
      </c>
      <c r="D16" s="79">
        <v>1</v>
      </c>
      <c r="E16" s="56">
        <v>32</v>
      </c>
      <c r="F16" s="56">
        <f t="shared" ref="F16:F30" si="0">D16*E16</f>
        <v>32</v>
      </c>
      <c r="G16" s="149">
        <f t="shared" ref="G16" si="1">F16*0</f>
        <v>0</v>
      </c>
      <c r="H16" s="85">
        <f t="shared" ref="H16" si="2">E16*1</f>
        <v>32</v>
      </c>
      <c r="I16" s="56">
        <f t="shared" ref="I16:I30" si="3">H16*D16</f>
        <v>32</v>
      </c>
      <c r="J16" s="83"/>
      <c r="N16" s="66"/>
    </row>
    <row r="17" spans="1:14" s="21" customFormat="1" ht="15.75" hidden="1" x14ac:dyDescent="0.25">
      <c r="A17" s="53">
        <v>2</v>
      </c>
      <c r="B17" s="78" t="s">
        <v>1487</v>
      </c>
      <c r="C17" s="53" t="s">
        <v>1506</v>
      </c>
      <c r="D17" s="79">
        <v>1</v>
      </c>
      <c r="E17" s="56">
        <v>155</v>
      </c>
      <c r="F17" s="56">
        <f t="shared" si="0"/>
        <v>155</v>
      </c>
      <c r="G17" s="149">
        <f t="shared" ref="G17:G21" si="4">F17*0.17</f>
        <v>26.35</v>
      </c>
      <c r="H17" s="85">
        <f t="shared" ref="H17:H21" si="5">E17*1.17</f>
        <v>181.35</v>
      </c>
      <c r="I17" s="56">
        <f t="shared" si="3"/>
        <v>181.35</v>
      </c>
      <c r="J17" s="83"/>
      <c r="N17" s="66"/>
    </row>
    <row r="18" spans="1:14" s="21" customFormat="1" ht="25.5" x14ac:dyDescent="0.25">
      <c r="A18" s="53">
        <v>3</v>
      </c>
      <c r="B18" s="78" t="s">
        <v>1488</v>
      </c>
      <c r="C18" s="53" t="s">
        <v>1505</v>
      </c>
      <c r="D18" s="79">
        <v>2</v>
      </c>
      <c r="E18" s="56">
        <v>25</v>
      </c>
      <c r="F18" s="56">
        <f t="shared" si="0"/>
        <v>50</v>
      </c>
      <c r="G18" s="149">
        <f t="shared" ref="G18:G19" si="6">F18*0</f>
        <v>0</v>
      </c>
      <c r="H18" s="85">
        <f t="shared" ref="H18:H19" si="7">E18*1</f>
        <v>25</v>
      </c>
      <c r="I18" s="56">
        <f t="shared" si="3"/>
        <v>50</v>
      </c>
      <c r="J18" s="83"/>
      <c r="N18" s="66"/>
    </row>
    <row r="19" spans="1:14" s="21" customFormat="1" ht="25.5" x14ac:dyDescent="0.25">
      <c r="A19" s="53">
        <v>4</v>
      </c>
      <c r="B19" s="78" t="s">
        <v>1513</v>
      </c>
      <c r="C19" s="53" t="s">
        <v>1505</v>
      </c>
      <c r="D19" s="79">
        <v>1</v>
      </c>
      <c r="E19" s="56">
        <v>75</v>
      </c>
      <c r="F19" s="56">
        <f t="shared" si="0"/>
        <v>75</v>
      </c>
      <c r="G19" s="149">
        <f t="shared" si="6"/>
        <v>0</v>
      </c>
      <c r="H19" s="85">
        <f t="shared" si="7"/>
        <v>75</v>
      </c>
      <c r="I19" s="56">
        <f t="shared" si="3"/>
        <v>75</v>
      </c>
      <c r="J19" s="83"/>
      <c r="N19" s="66"/>
    </row>
    <row r="20" spans="1:14" s="21" customFormat="1" ht="15.75" hidden="1" x14ac:dyDescent="0.25">
      <c r="A20" s="53">
        <v>5</v>
      </c>
      <c r="B20" s="78" t="s">
        <v>1527</v>
      </c>
      <c r="C20" s="53" t="s">
        <v>23</v>
      </c>
      <c r="D20" s="79">
        <v>1</v>
      </c>
      <c r="E20" s="56">
        <v>28</v>
      </c>
      <c r="F20" s="56">
        <f t="shared" si="0"/>
        <v>28</v>
      </c>
      <c r="G20" s="149">
        <f t="shared" si="4"/>
        <v>4.7600000000000007</v>
      </c>
      <c r="H20" s="85">
        <f t="shared" si="5"/>
        <v>32.76</v>
      </c>
      <c r="I20" s="56">
        <f t="shared" si="3"/>
        <v>32.76</v>
      </c>
      <c r="J20" s="83"/>
      <c r="N20" s="66"/>
    </row>
    <row r="21" spans="1:14" s="21" customFormat="1" ht="25.5" hidden="1" x14ac:dyDescent="0.25">
      <c r="A21" s="53">
        <v>6</v>
      </c>
      <c r="B21" s="78" t="s">
        <v>1490</v>
      </c>
      <c r="C21" s="53" t="s">
        <v>1505</v>
      </c>
      <c r="D21" s="79">
        <v>1</v>
      </c>
      <c r="E21" s="56">
        <v>40</v>
      </c>
      <c r="F21" s="56">
        <f t="shared" si="0"/>
        <v>40</v>
      </c>
      <c r="G21" s="149">
        <f t="shared" si="4"/>
        <v>6.8000000000000007</v>
      </c>
      <c r="H21" s="85">
        <f t="shared" si="5"/>
        <v>46.8</v>
      </c>
      <c r="I21" s="56">
        <f t="shared" si="3"/>
        <v>46.8</v>
      </c>
      <c r="J21" s="83"/>
      <c r="N21" s="66"/>
    </row>
    <row r="22" spans="1:14" s="21" customFormat="1" ht="15.75" hidden="1" x14ac:dyDescent="0.25">
      <c r="A22" s="53">
        <v>7</v>
      </c>
      <c r="B22" s="78" t="s">
        <v>1528</v>
      </c>
      <c r="C22" s="53" t="s">
        <v>23</v>
      </c>
      <c r="D22" s="79">
        <v>1</v>
      </c>
      <c r="E22" s="56">
        <v>100</v>
      </c>
      <c r="F22" s="56">
        <f t="shared" si="0"/>
        <v>100</v>
      </c>
      <c r="G22" s="149">
        <f t="shared" ref="G22:G30" si="8">F22*0.17</f>
        <v>17</v>
      </c>
      <c r="H22" s="85">
        <f t="shared" ref="H22:H30" si="9">E22*1.17</f>
        <v>117</v>
      </c>
      <c r="I22" s="56">
        <f t="shared" si="3"/>
        <v>117</v>
      </c>
      <c r="J22" s="83"/>
      <c r="N22" s="66"/>
    </row>
    <row r="23" spans="1:14" s="21" customFormat="1" ht="15.75" hidden="1" x14ac:dyDescent="0.25">
      <c r="A23" s="53">
        <v>8</v>
      </c>
      <c r="B23" s="78" t="s">
        <v>1538</v>
      </c>
      <c r="C23" s="53" t="s">
        <v>23</v>
      </c>
      <c r="D23" s="79">
        <v>1</v>
      </c>
      <c r="E23" s="56">
        <v>340</v>
      </c>
      <c r="F23" s="56">
        <f t="shared" si="0"/>
        <v>340</v>
      </c>
      <c r="G23" s="149">
        <f t="shared" si="8"/>
        <v>57.800000000000004</v>
      </c>
      <c r="H23" s="85">
        <f t="shared" si="9"/>
        <v>397.79999999999995</v>
      </c>
      <c r="I23" s="56">
        <f t="shared" si="3"/>
        <v>397.79999999999995</v>
      </c>
      <c r="J23" s="83"/>
      <c r="N23" s="66"/>
    </row>
    <row r="24" spans="1:14" s="21" customFormat="1" ht="15.75" hidden="1" x14ac:dyDescent="0.25">
      <c r="A24" s="53">
        <v>9</v>
      </c>
      <c r="B24" s="78" t="s">
        <v>1536</v>
      </c>
      <c r="C24" s="53" t="s">
        <v>1506</v>
      </c>
      <c r="D24" s="79">
        <v>5</v>
      </c>
      <c r="E24" s="56">
        <v>25</v>
      </c>
      <c r="F24" s="56">
        <f t="shared" si="0"/>
        <v>125</v>
      </c>
      <c r="G24" s="149">
        <f t="shared" si="8"/>
        <v>21.25</v>
      </c>
      <c r="H24" s="85">
        <f t="shared" si="9"/>
        <v>29.25</v>
      </c>
      <c r="I24" s="56">
        <f t="shared" si="3"/>
        <v>146.25</v>
      </c>
      <c r="J24" s="83"/>
      <c r="N24" s="66"/>
    </row>
    <row r="25" spans="1:14" s="21" customFormat="1" ht="15.75" hidden="1" x14ac:dyDescent="0.25">
      <c r="A25" s="53">
        <v>10</v>
      </c>
      <c r="B25" s="78" t="s">
        <v>1497</v>
      </c>
      <c r="C25" s="53" t="s">
        <v>1506</v>
      </c>
      <c r="D25" s="79">
        <v>2</v>
      </c>
      <c r="E25" s="56">
        <v>28</v>
      </c>
      <c r="F25" s="56">
        <f t="shared" si="0"/>
        <v>56</v>
      </c>
      <c r="G25" s="149">
        <f t="shared" si="8"/>
        <v>9.5200000000000014</v>
      </c>
      <c r="H25" s="85">
        <f t="shared" si="9"/>
        <v>32.76</v>
      </c>
      <c r="I25" s="56">
        <f t="shared" si="3"/>
        <v>65.52</v>
      </c>
      <c r="J25" s="83"/>
      <c r="N25" s="66"/>
    </row>
    <row r="26" spans="1:14" s="21" customFormat="1" ht="15.75" hidden="1" x14ac:dyDescent="0.25">
      <c r="A26" s="53">
        <v>11</v>
      </c>
      <c r="B26" s="78" t="s">
        <v>1544</v>
      </c>
      <c r="C26" s="53" t="s">
        <v>1506</v>
      </c>
      <c r="D26" s="79">
        <v>1</v>
      </c>
      <c r="E26" s="56">
        <v>100</v>
      </c>
      <c r="F26" s="56">
        <f t="shared" si="0"/>
        <v>100</v>
      </c>
      <c r="G26" s="149">
        <f t="shared" si="8"/>
        <v>17</v>
      </c>
      <c r="H26" s="85">
        <f t="shared" si="9"/>
        <v>117</v>
      </c>
      <c r="I26" s="56">
        <f t="shared" si="3"/>
        <v>117</v>
      </c>
      <c r="J26" s="83"/>
      <c r="N26" s="66"/>
    </row>
    <row r="27" spans="1:14" s="21" customFormat="1" ht="15.75" hidden="1" x14ac:dyDescent="0.25">
      <c r="A27" s="53">
        <v>12</v>
      </c>
      <c r="B27" s="78" t="s">
        <v>1503</v>
      </c>
      <c r="C27" s="53" t="s">
        <v>1506</v>
      </c>
      <c r="D27" s="79">
        <v>1</v>
      </c>
      <c r="E27" s="56">
        <v>26</v>
      </c>
      <c r="F27" s="56">
        <f t="shared" si="0"/>
        <v>26</v>
      </c>
      <c r="G27" s="149">
        <f t="shared" si="8"/>
        <v>4.42</v>
      </c>
      <c r="H27" s="85">
        <f t="shared" si="9"/>
        <v>30.419999999999998</v>
      </c>
      <c r="I27" s="56">
        <f t="shared" si="3"/>
        <v>30.419999999999998</v>
      </c>
      <c r="J27" s="83"/>
      <c r="N27" s="66"/>
    </row>
    <row r="28" spans="1:14" s="21" customFormat="1" ht="15.75" x14ac:dyDescent="0.25">
      <c r="A28" s="53">
        <v>13</v>
      </c>
      <c r="B28" s="78" t="s">
        <v>1949</v>
      </c>
      <c r="C28" s="53" t="s">
        <v>76</v>
      </c>
      <c r="D28" s="79">
        <v>1</v>
      </c>
      <c r="E28" s="56">
        <v>75</v>
      </c>
      <c r="F28" s="56">
        <f t="shared" si="0"/>
        <v>75</v>
      </c>
      <c r="G28" s="149">
        <f t="shared" ref="G28:G29" si="10">F28*0</f>
        <v>0</v>
      </c>
      <c r="H28" s="85">
        <f t="shared" ref="H28:H29" si="11">E28*1</f>
        <v>75</v>
      </c>
      <c r="I28" s="56">
        <f t="shared" si="3"/>
        <v>75</v>
      </c>
      <c r="J28" s="83"/>
      <c r="N28" s="66"/>
    </row>
    <row r="29" spans="1:14" s="21" customFormat="1" ht="15.75" x14ac:dyDescent="0.25">
      <c r="A29" s="53">
        <v>14</v>
      </c>
      <c r="B29" s="78" t="s">
        <v>2242</v>
      </c>
      <c r="C29" s="53" t="s">
        <v>23</v>
      </c>
      <c r="D29" s="79">
        <v>12</v>
      </c>
      <c r="E29" s="56">
        <v>115</v>
      </c>
      <c r="F29" s="56">
        <f t="shared" si="0"/>
        <v>1380</v>
      </c>
      <c r="G29" s="149">
        <f t="shared" si="10"/>
        <v>0</v>
      </c>
      <c r="H29" s="85">
        <f t="shared" si="11"/>
        <v>115</v>
      </c>
      <c r="I29" s="56">
        <f t="shared" si="3"/>
        <v>1380</v>
      </c>
      <c r="J29" s="83"/>
      <c r="N29" s="66"/>
    </row>
    <row r="30" spans="1:14" s="21" customFormat="1" ht="15.75" hidden="1" x14ac:dyDescent="0.25">
      <c r="A30" s="53">
        <v>15</v>
      </c>
      <c r="B30" s="78" t="s">
        <v>2245</v>
      </c>
      <c r="C30" s="53" t="s">
        <v>23</v>
      </c>
      <c r="D30" s="79">
        <v>2</v>
      </c>
      <c r="E30" s="56">
        <v>25</v>
      </c>
      <c r="F30" s="56">
        <f t="shared" si="0"/>
        <v>50</v>
      </c>
      <c r="G30" s="149">
        <f t="shared" si="8"/>
        <v>8.5</v>
      </c>
      <c r="H30" s="85">
        <f t="shared" si="9"/>
        <v>29.25</v>
      </c>
      <c r="I30" s="56">
        <f t="shared" si="3"/>
        <v>58.5</v>
      </c>
      <c r="J30" s="83"/>
      <c r="N30" s="66"/>
    </row>
    <row r="31" spans="1:14" s="21" customFormat="1" ht="15.75" hidden="1" x14ac:dyDescent="0.25">
      <c r="A31" s="53"/>
      <c r="B31" s="78"/>
      <c r="C31" s="53"/>
      <c r="D31" s="79"/>
      <c r="E31" s="56"/>
      <c r="F31" s="56"/>
      <c r="G31" s="149"/>
      <c r="H31" s="85"/>
      <c r="I31" s="56"/>
      <c r="J31" s="83"/>
      <c r="N31" s="66"/>
    </row>
    <row r="32" spans="1:14" ht="15.75" hidden="1" thickBot="1" x14ac:dyDescent="0.3">
      <c r="A32" s="33"/>
      <c r="B32" s="34" t="s">
        <v>24</v>
      </c>
      <c r="C32" s="35"/>
      <c r="D32" s="62">
        <f>SUM(D16:D31)</f>
        <v>33</v>
      </c>
      <c r="E32" s="35"/>
      <c r="F32" s="62">
        <f>SUM(F16:F31)</f>
        <v>2632</v>
      </c>
      <c r="G32" s="62">
        <f>SUM(G16:G31)</f>
        <v>173.4</v>
      </c>
      <c r="H32" s="35"/>
      <c r="I32" s="62">
        <f>SUM(I16:I31)</f>
        <v>2805.4</v>
      </c>
      <c r="J32" s="37"/>
    </row>
    <row r="33" spans="1:18" hidden="1" x14ac:dyDescent="0.25">
      <c r="A33" s="33"/>
      <c r="B33" s="34" t="s">
        <v>2277</v>
      </c>
      <c r="C33" s="35"/>
      <c r="D33" s="35"/>
      <c r="E33" s="35"/>
      <c r="F33" s="35"/>
      <c r="G33" s="35"/>
      <c r="H33" s="35"/>
      <c r="I33" s="35"/>
      <c r="J33" s="37"/>
    </row>
    <row r="34" spans="1:18" hidden="1" x14ac:dyDescent="0.25">
      <c r="A34" s="33"/>
      <c r="B34" s="38" t="s">
        <v>25</v>
      </c>
      <c r="C34" s="35"/>
      <c r="D34" s="35"/>
      <c r="E34" s="35"/>
      <c r="F34" s="35"/>
      <c r="G34" s="35"/>
      <c r="H34" s="35"/>
      <c r="I34" s="35"/>
      <c r="J34" s="37"/>
      <c r="M34" s="64"/>
      <c r="O34" s="65"/>
      <c r="P34" s="64"/>
      <c r="Q34" s="64"/>
      <c r="R34" s="64"/>
    </row>
    <row r="35" spans="1:18" ht="30" hidden="1" customHeight="1" x14ac:dyDescent="0.25">
      <c r="B35" s="183" t="s">
        <v>26</v>
      </c>
      <c r="C35" s="183"/>
      <c r="D35" s="183"/>
      <c r="E35" s="183"/>
      <c r="F35" s="183"/>
      <c r="G35" s="183"/>
      <c r="H35" s="183"/>
      <c r="I35" s="183"/>
      <c r="J35" s="183"/>
      <c r="P35" s="64"/>
      <c r="R35" s="65"/>
    </row>
    <row r="36" spans="1:18" hidden="1" x14ac:dyDescent="0.25">
      <c r="B36" t="s">
        <v>634</v>
      </c>
    </row>
    <row r="39" spans="1:18" x14ac:dyDescent="0.25">
      <c r="B39" t="s">
        <v>28</v>
      </c>
      <c r="H39" t="s">
        <v>28</v>
      </c>
    </row>
    <row r="40" spans="1:18" x14ac:dyDescent="0.25">
      <c r="B40" t="s">
        <v>29</v>
      </c>
      <c r="H40" t="s">
        <v>30</v>
      </c>
    </row>
  </sheetData>
  <autoFilter ref="A15:J36" xr:uid="{00000000-0009-0000-0000-000000000000}">
    <filterColumn colId="6">
      <filters>
        <filter val="-"/>
      </filters>
    </filterColumn>
  </autoFilter>
  <mergeCells count="5">
    <mergeCell ref="A6:J6"/>
    <mergeCell ref="I7:J7"/>
    <mergeCell ref="I8:J8"/>
    <mergeCell ref="I9:J9"/>
    <mergeCell ref="B35:J35"/>
  </mergeCells>
  <hyperlinks>
    <hyperlink ref="H5" r:id="rId1" xr:uid="{17577E2D-0EE0-4862-9910-C392968E1F9C}"/>
  </hyperlinks>
  <pageMargins left="0.2" right="0.1" top="0.25" bottom="0.25" header="0.3" footer="0.3"/>
  <pageSetup paperSize="9" orientation="portrait" r:id="rId2"/>
  <drawing r:id="rId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C0E79-90B3-4AB7-A8BB-9EC80CA2B336}">
  <dimension ref="A1:J26"/>
  <sheetViews>
    <sheetView workbookViewId="0">
      <selection activeCell="A20" sqref="A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1282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1290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1283</v>
      </c>
      <c r="C16" s="54" t="s">
        <v>23</v>
      </c>
      <c r="D16" s="72">
        <v>48</v>
      </c>
      <c r="E16" s="56">
        <v>15</v>
      </c>
      <c r="F16" s="56">
        <f t="shared" ref="F16" si="0">D16*E16</f>
        <v>720</v>
      </c>
      <c r="G16" s="56">
        <f>F16*0.17</f>
        <v>122.4</v>
      </c>
      <c r="H16" s="84">
        <f>E16*1.17</f>
        <v>17.549999999999997</v>
      </c>
      <c r="I16" s="56">
        <f t="shared" ref="I16" si="1">H16*D16</f>
        <v>842.39999999999986</v>
      </c>
      <c r="J16" s="58"/>
    </row>
    <row r="17" spans="1:10" s="21" customFormat="1" x14ac:dyDescent="0.25">
      <c r="A17" s="53"/>
      <c r="B17" s="47"/>
      <c r="C17" s="54"/>
      <c r="D17" s="72"/>
      <c r="E17" s="56"/>
      <c r="F17" s="56"/>
      <c r="G17" s="56"/>
      <c r="H17" s="84"/>
      <c r="I17" s="56"/>
      <c r="J17" s="58"/>
    </row>
    <row r="18" spans="1:10" ht="15.75" thickBot="1" x14ac:dyDescent="0.3">
      <c r="A18" s="33"/>
      <c r="B18" s="34" t="s">
        <v>24</v>
      </c>
      <c r="C18" s="35"/>
      <c r="D18" s="73">
        <f>SUM(D16:D16)</f>
        <v>48</v>
      </c>
      <c r="E18" s="35"/>
      <c r="F18" s="73">
        <f>SUM(F16:F16)</f>
        <v>720</v>
      </c>
      <c r="G18" s="73">
        <f>SUM(G16:G16)</f>
        <v>122.4</v>
      </c>
      <c r="H18" s="35"/>
      <c r="I18" s="73">
        <f>SUM(I16:I16)</f>
        <v>842.39999999999986</v>
      </c>
      <c r="J18" s="37"/>
    </row>
    <row r="19" spans="1:10" ht="15.75" thickTop="1" x14ac:dyDescent="0.25">
      <c r="A19" s="33"/>
      <c r="B19" s="34" t="s">
        <v>1289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634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FA27496B-2EC7-4943-B2C9-1A650B5F6672}"/>
  </hyperlinks>
  <pageMargins left="0.2" right="0.1" top="0.25" bottom="0.25" header="0.3" footer="0.3"/>
  <pageSetup paperSize="9" orientation="portrait" r:id="rId2"/>
  <drawing r:id="rId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B3A66-830F-4408-95AE-BE2C1F0F6A18}">
  <dimension ref="A1:J29"/>
  <sheetViews>
    <sheetView topLeftCell="A8" workbookViewId="0">
      <selection activeCell="B25" sqref="B2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1282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1281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1284</v>
      </c>
      <c r="C16" s="54" t="s">
        <v>23</v>
      </c>
      <c r="D16" s="72">
        <v>20</v>
      </c>
      <c r="E16" s="56">
        <v>72</v>
      </c>
      <c r="F16" s="56">
        <f t="shared" ref="F16:F19" si="0">D16*E16</f>
        <v>1440</v>
      </c>
      <c r="G16" s="56">
        <f t="shared" ref="G16:G19" si="1">F16*0.17</f>
        <v>244.8</v>
      </c>
      <c r="H16" s="84">
        <f t="shared" ref="H16:H19" si="2">E16*1.17</f>
        <v>84.24</v>
      </c>
      <c r="I16" s="56">
        <f t="shared" ref="I16:I19" si="3">H16*D16</f>
        <v>1684.8</v>
      </c>
      <c r="J16" s="58"/>
    </row>
    <row r="17" spans="1:10" s="21" customFormat="1" x14ac:dyDescent="0.25">
      <c r="A17" s="53">
        <v>2</v>
      </c>
      <c r="B17" s="47" t="s">
        <v>1285</v>
      </c>
      <c r="C17" s="54" t="s">
        <v>23</v>
      </c>
      <c r="D17" s="72">
        <v>9</v>
      </c>
      <c r="E17" s="56">
        <v>60</v>
      </c>
      <c r="F17" s="56">
        <f t="shared" si="0"/>
        <v>540</v>
      </c>
      <c r="G17" s="56">
        <f t="shared" si="1"/>
        <v>91.800000000000011</v>
      </c>
      <c r="H17" s="84">
        <f t="shared" si="2"/>
        <v>70.199999999999989</v>
      </c>
      <c r="I17" s="56">
        <f t="shared" si="3"/>
        <v>631.79999999999995</v>
      </c>
      <c r="J17" s="58"/>
    </row>
    <row r="18" spans="1:10" s="21" customFormat="1" x14ac:dyDescent="0.25">
      <c r="A18" s="53">
        <v>3</v>
      </c>
      <c r="B18" s="47" t="s">
        <v>1286</v>
      </c>
      <c r="C18" s="54" t="s">
        <v>76</v>
      </c>
      <c r="D18" s="72">
        <v>1</v>
      </c>
      <c r="E18" s="56">
        <v>280</v>
      </c>
      <c r="F18" s="56">
        <f t="shared" si="0"/>
        <v>280</v>
      </c>
      <c r="G18" s="56">
        <f t="shared" si="1"/>
        <v>47.6</v>
      </c>
      <c r="H18" s="84">
        <f t="shared" si="2"/>
        <v>327.59999999999997</v>
      </c>
      <c r="I18" s="56">
        <f t="shared" si="3"/>
        <v>327.59999999999997</v>
      </c>
      <c r="J18" s="58"/>
    </row>
    <row r="19" spans="1:10" s="21" customFormat="1" x14ac:dyDescent="0.25">
      <c r="A19" s="53">
        <v>4</v>
      </c>
      <c r="B19" s="47" t="s">
        <v>1287</v>
      </c>
      <c r="C19" s="54" t="s">
        <v>23</v>
      </c>
      <c r="D19" s="72">
        <v>36</v>
      </c>
      <c r="E19" s="56">
        <v>135</v>
      </c>
      <c r="F19" s="56">
        <f t="shared" si="0"/>
        <v>4860</v>
      </c>
      <c r="G19" s="56">
        <f t="shared" si="1"/>
        <v>826.2</v>
      </c>
      <c r="H19" s="84">
        <f t="shared" si="2"/>
        <v>157.94999999999999</v>
      </c>
      <c r="I19" s="56">
        <f t="shared" si="3"/>
        <v>5686.2</v>
      </c>
      <c r="J19" s="58"/>
    </row>
    <row r="20" spans="1:10" s="21" customFormat="1" x14ac:dyDescent="0.25">
      <c r="A20" s="53"/>
      <c r="B20" s="47"/>
      <c r="C20" s="54"/>
      <c r="D20" s="72"/>
      <c r="E20" s="56"/>
      <c r="F20" s="56"/>
      <c r="G20" s="56"/>
      <c r="H20" s="84"/>
      <c r="I20" s="56"/>
      <c r="J20" s="58"/>
    </row>
    <row r="21" spans="1:10" ht="15.75" thickBot="1" x14ac:dyDescent="0.3">
      <c r="A21" s="33"/>
      <c r="B21" s="34" t="s">
        <v>24</v>
      </c>
      <c r="C21" s="35"/>
      <c r="D21" s="73">
        <f>SUM(D16:D19)</f>
        <v>66</v>
      </c>
      <c r="E21" s="35"/>
      <c r="F21" s="73">
        <f>SUM(F16:F19)</f>
        <v>7120</v>
      </c>
      <c r="G21" s="73">
        <f>SUM(G16:G19)</f>
        <v>1210.4000000000001</v>
      </c>
      <c r="H21" s="35"/>
      <c r="I21" s="73">
        <f>SUM(I16:I19)</f>
        <v>8330.4</v>
      </c>
      <c r="J21" s="37"/>
    </row>
    <row r="22" spans="1:10" ht="15.75" thickTop="1" x14ac:dyDescent="0.25">
      <c r="A22" s="33"/>
      <c r="B22" s="34" t="s">
        <v>1288</v>
      </c>
      <c r="C22" s="35"/>
      <c r="D22" s="35"/>
      <c r="E22" s="35"/>
      <c r="F22" s="35"/>
      <c r="G22" s="35"/>
      <c r="H22" s="35"/>
      <c r="I22" s="35"/>
      <c r="J22" s="37"/>
    </row>
    <row r="23" spans="1:10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</row>
    <row r="24" spans="1:10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</row>
    <row r="25" spans="1:10" x14ac:dyDescent="0.25">
      <c r="B25" t="s">
        <v>634</v>
      </c>
    </row>
    <row r="28" spans="1:10" x14ac:dyDescent="0.25">
      <c r="B28" t="s">
        <v>28</v>
      </c>
      <c r="H28" t="s">
        <v>28</v>
      </c>
    </row>
    <row r="29" spans="1:10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34AA36BB-C14D-44D0-85A9-4A5BE0816329}"/>
  </hyperlinks>
  <pageMargins left="0.2" right="0.1" top="0.25" bottom="0.25" header="0.3" footer="0.3"/>
  <pageSetup paperSize="9" orientation="portrait" r:id="rId2"/>
  <drawing r:id="rId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DF537-F4B3-4EF6-BB7C-037908A8ACB4}">
  <dimension ref="A1:J26"/>
  <sheetViews>
    <sheetView topLeftCell="A5" workbookViewId="0">
      <selection activeCell="C18" sqref="C1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1274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1278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1279</v>
      </c>
      <c r="C16" s="54" t="s">
        <v>23</v>
      </c>
      <c r="D16" s="72">
        <v>2</v>
      </c>
      <c r="E16" s="56">
        <v>3850</v>
      </c>
      <c r="F16" s="56">
        <f t="shared" ref="F16" si="0">D16*E16</f>
        <v>7700</v>
      </c>
      <c r="G16" s="56">
        <f>F16*0.17</f>
        <v>1309</v>
      </c>
      <c r="H16" s="84">
        <f>E16*1.17</f>
        <v>4504.5</v>
      </c>
      <c r="I16" s="56">
        <f t="shared" ref="I16" si="1">H16*D16</f>
        <v>9009</v>
      </c>
      <c r="J16" s="58"/>
    </row>
    <row r="17" spans="1:10" s="21" customFormat="1" x14ac:dyDescent="0.25">
      <c r="A17" s="53"/>
      <c r="B17" s="47"/>
      <c r="C17" s="54"/>
      <c r="D17" s="72"/>
      <c r="E17" s="56"/>
      <c r="F17" s="56"/>
      <c r="G17" s="56"/>
      <c r="H17" s="84"/>
      <c r="I17" s="56"/>
      <c r="J17" s="58"/>
    </row>
    <row r="18" spans="1:10" ht="15.75" thickBot="1" x14ac:dyDescent="0.3">
      <c r="A18" s="33"/>
      <c r="B18" s="34" t="s">
        <v>24</v>
      </c>
      <c r="C18" s="35"/>
      <c r="D18" s="73">
        <f>SUM(D16:D16)</f>
        <v>2</v>
      </c>
      <c r="E18" s="35"/>
      <c r="F18" s="73">
        <f>SUM(F16:F16)</f>
        <v>7700</v>
      </c>
      <c r="G18" s="73">
        <f>SUM(G16:G16)</f>
        <v>1309</v>
      </c>
      <c r="H18" s="35"/>
      <c r="I18" s="73">
        <f>SUM(I16:I16)</f>
        <v>9009</v>
      </c>
      <c r="J18" s="37"/>
    </row>
    <row r="19" spans="1:10" ht="15.75" thickTop="1" x14ac:dyDescent="0.25">
      <c r="A19" s="33"/>
      <c r="B19" s="34" t="s">
        <v>1280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634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D6922ED5-57EC-4297-96E4-79478ACDC0A2}"/>
  </hyperlinks>
  <pageMargins left="0.2" right="0.1" top="0.25" bottom="0.25" header="0.3" footer="0.3"/>
  <pageSetup paperSize="9" orientation="portrait" r:id="rId2"/>
  <drawing r:id="rId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4017C-14A1-4366-954E-7E40EBA424E9}">
  <dimension ref="A1:R26"/>
  <sheetViews>
    <sheetView workbookViewId="0">
      <selection activeCell="A12" sqref="A1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1270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1271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1275</v>
      </c>
      <c r="J9" s="188"/>
    </row>
    <row r="10" spans="1:15" x14ac:dyDescent="0.25">
      <c r="B10" t="s">
        <v>9</v>
      </c>
      <c r="C10" s="10" t="s">
        <v>754</v>
      </c>
      <c r="D10" s="10"/>
      <c r="E10" s="10"/>
      <c r="F10" s="10"/>
    </row>
    <row r="11" spans="1:15" x14ac:dyDescent="0.25">
      <c r="B11" t="s">
        <v>11</v>
      </c>
      <c r="C11" s="10" t="s">
        <v>755</v>
      </c>
      <c r="D11" s="11"/>
      <c r="E11" s="11"/>
      <c r="F11" s="11"/>
    </row>
    <row r="12" spans="1:15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1276</v>
      </c>
      <c r="C16" s="53" t="s">
        <v>987</v>
      </c>
      <c r="D16" s="79">
        <v>100</v>
      </c>
      <c r="E16" s="56">
        <v>124</v>
      </c>
      <c r="F16" s="56">
        <f>D16*E16</f>
        <v>12400</v>
      </c>
      <c r="G16" s="56">
        <f t="shared" ref="G16:G17" si="0">F16*0.17</f>
        <v>2108</v>
      </c>
      <c r="H16" s="74">
        <f t="shared" ref="H16:H17" si="1">E16*1.17</f>
        <v>145.07999999999998</v>
      </c>
      <c r="I16" s="56">
        <f>H16*D16</f>
        <v>14507.999999999998</v>
      </c>
      <c r="J16" s="83"/>
      <c r="M16" s="21">
        <f t="shared" ref="M16:M17" si="2">440*1.02</f>
        <v>448.8</v>
      </c>
      <c r="N16" s="66" t="e">
        <f>M16-#REF!</f>
        <v>#REF!</v>
      </c>
      <c r="O16" s="21" t="e">
        <f t="shared" ref="O16:O17" si="3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ref="F17" si="4">D17*E17</f>
        <v>0</v>
      </c>
      <c r="G17" s="56">
        <f t="shared" si="0"/>
        <v>0</v>
      </c>
      <c r="H17" s="57">
        <f t="shared" si="1"/>
        <v>0</v>
      </c>
      <c r="I17" s="56">
        <f t="shared" ref="I17" si="5">H17*D17</f>
        <v>0</v>
      </c>
      <c r="J17" s="58"/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100</v>
      </c>
      <c r="E18" s="35"/>
      <c r="F18" s="62">
        <f>SUM(F16:F17)</f>
        <v>12400</v>
      </c>
      <c r="G18" s="62">
        <f>SUM(G16:G17)</f>
        <v>2108</v>
      </c>
      <c r="H18" s="35"/>
      <c r="I18" s="62">
        <f>SUM(I16:I17)</f>
        <v>14507.999999999998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1277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A50C0152-21A9-4F15-8CC2-0B15ECCED0B8}"/>
  </hyperlinks>
  <pageMargins left="0.2" right="0.1" top="0.25" bottom="0.25" header="0.3" footer="0.3"/>
  <pageSetup paperSize="9" orientation="portrait" r:id="rId2"/>
  <drawing r:id="rId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01777-1146-4647-82E0-33397B443DE5}">
  <dimension ref="A1:J26"/>
  <sheetViews>
    <sheetView topLeftCell="A5" workbookViewId="0">
      <selection activeCell="B21" sqref="B21:J2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1270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1269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>
        <v>8800700173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1272</v>
      </c>
      <c r="C16" s="54" t="s">
        <v>23</v>
      </c>
      <c r="D16" s="72">
        <v>200</v>
      </c>
      <c r="E16" s="56">
        <v>320</v>
      </c>
      <c r="F16" s="56">
        <f t="shared" ref="F16" si="0">D16*E16</f>
        <v>64000</v>
      </c>
      <c r="G16" s="56">
        <f>F16*0.17</f>
        <v>10880</v>
      </c>
      <c r="H16" s="84">
        <f>E16*1.17</f>
        <v>374.4</v>
      </c>
      <c r="I16" s="56">
        <f t="shared" ref="I16" si="1">H16*D16</f>
        <v>74880</v>
      </c>
      <c r="J16" s="58"/>
    </row>
    <row r="17" spans="1:10" s="21" customFormat="1" x14ac:dyDescent="0.25">
      <c r="A17" s="53"/>
      <c r="B17" s="47"/>
      <c r="C17" s="54"/>
      <c r="D17" s="72"/>
      <c r="E17" s="56"/>
      <c r="F17" s="56"/>
      <c r="G17" s="56"/>
      <c r="H17" s="84"/>
      <c r="I17" s="56"/>
      <c r="J17" s="58"/>
    </row>
    <row r="18" spans="1:10" ht="15.75" thickBot="1" x14ac:dyDescent="0.3">
      <c r="A18" s="33"/>
      <c r="B18" s="34" t="s">
        <v>24</v>
      </c>
      <c r="C18" s="35"/>
      <c r="D18" s="73">
        <f>SUM(D16:D16)</f>
        <v>200</v>
      </c>
      <c r="E18" s="35"/>
      <c r="F18" s="73">
        <f>SUM(F16:F16)</f>
        <v>64000</v>
      </c>
      <c r="G18" s="73">
        <f>SUM(G16:G16)</f>
        <v>10880</v>
      </c>
      <c r="H18" s="35"/>
      <c r="I18" s="73">
        <f>SUM(I16:I16)</f>
        <v>74880</v>
      </c>
      <c r="J18" s="37"/>
    </row>
    <row r="19" spans="1:10" ht="15.75" thickTop="1" x14ac:dyDescent="0.25">
      <c r="A19" s="33"/>
      <c r="B19" s="34" t="s">
        <v>1273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634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1A88D5A0-F937-486C-A725-F4F201295E94}"/>
  </hyperlinks>
  <pageMargins left="0.2" right="0.1" top="0.25" bottom="0.25" header="0.3" footer="0.3"/>
  <pageSetup paperSize="9" orientation="portrait" r:id="rId2"/>
  <drawing r:id="rId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F48A5-34AB-4093-B342-CB9877951407}">
  <dimension ref="A1:J28"/>
  <sheetViews>
    <sheetView workbookViewId="0">
      <selection activeCell="L15" sqref="L1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1268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1265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>
        <v>8800694179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958</v>
      </c>
      <c r="C16" s="54" t="s">
        <v>23</v>
      </c>
      <c r="D16" s="72">
        <v>240</v>
      </c>
      <c r="E16" s="56">
        <v>20</v>
      </c>
      <c r="F16" s="56">
        <f t="shared" ref="F16:F18" si="0">D16*E16</f>
        <v>4800</v>
      </c>
      <c r="G16" s="56">
        <f>F16*0.17</f>
        <v>816.00000000000011</v>
      </c>
      <c r="H16" s="84">
        <f>E16*1.17</f>
        <v>23.4</v>
      </c>
      <c r="I16" s="56">
        <f t="shared" ref="I16:I18" si="1">H16*D16</f>
        <v>5616</v>
      </c>
      <c r="J16" s="58"/>
    </row>
    <row r="17" spans="1:10" s="21" customFormat="1" x14ac:dyDescent="0.25">
      <c r="A17" s="53">
        <v>2</v>
      </c>
      <c r="B17" s="47" t="s">
        <v>1266</v>
      </c>
      <c r="C17" s="54" t="s">
        <v>23</v>
      </c>
      <c r="D17" s="72">
        <v>200</v>
      </c>
      <c r="E17" s="56">
        <v>88</v>
      </c>
      <c r="F17" s="56">
        <f t="shared" si="0"/>
        <v>17600</v>
      </c>
      <c r="G17" s="56">
        <f>F17*0.17</f>
        <v>2992</v>
      </c>
      <c r="H17" s="84">
        <f>E17*1.17</f>
        <v>102.96</v>
      </c>
      <c r="I17" s="56">
        <f t="shared" si="1"/>
        <v>20592</v>
      </c>
      <c r="J17" s="58"/>
    </row>
    <row r="18" spans="1:10" s="21" customFormat="1" x14ac:dyDescent="0.25">
      <c r="A18" s="53">
        <v>3</v>
      </c>
      <c r="B18" s="47" t="s">
        <v>962</v>
      </c>
      <c r="C18" s="54" t="s">
        <v>23</v>
      </c>
      <c r="D18" s="72">
        <v>500</v>
      </c>
      <c r="E18" s="56">
        <v>32</v>
      </c>
      <c r="F18" s="56">
        <f t="shared" si="0"/>
        <v>16000</v>
      </c>
      <c r="G18" s="56">
        <f>F18*0.17</f>
        <v>2720</v>
      </c>
      <c r="H18" s="84">
        <f>E18*1.17</f>
        <v>37.44</v>
      </c>
      <c r="I18" s="56">
        <f t="shared" si="1"/>
        <v>18720</v>
      </c>
      <c r="J18" s="58"/>
    </row>
    <row r="19" spans="1:10" s="21" customFormat="1" x14ac:dyDescent="0.25">
      <c r="A19" s="53"/>
      <c r="B19" s="47"/>
      <c r="C19" s="54"/>
      <c r="D19" s="72"/>
      <c r="E19" s="56"/>
      <c r="F19" s="56"/>
      <c r="G19" s="56"/>
      <c r="H19" s="84"/>
      <c r="I19" s="56"/>
      <c r="J19" s="58"/>
    </row>
    <row r="20" spans="1:10" ht="15.75" thickBot="1" x14ac:dyDescent="0.3">
      <c r="A20" s="33"/>
      <c r="B20" s="34" t="s">
        <v>24</v>
      </c>
      <c r="C20" s="35"/>
      <c r="D20" s="73">
        <f>SUM(D16:D18)</f>
        <v>940</v>
      </c>
      <c r="E20" s="35"/>
      <c r="F20" s="73">
        <f>SUM(F16:F18)</f>
        <v>38400</v>
      </c>
      <c r="G20" s="73">
        <f>SUM(G16:G18)</f>
        <v>6528</v>
      </c>
      <c r="H20" s="35"/>
      <c r="I20" s="73">
        <f>SUM(I16:I18)</f>
        <v>44928</v>
      </c>
      <c r="J20" s="37"/>
    </row>
    <row r="21" spans="1:10" ht="15.75" thickTop="1" x14ac:dyDescent="0.25">
      <c r="A21" s="33"/>
      <c r="B21" s="34" t="s">
        <v>1267</v>
      </c>
      <c r="C21" s="35"/>
      <c r="D21" s="35"/>
      <c r="E21" s="35"/>
      <c r="F21" s="35"/>
      <c r="G21" s="35"/>
      <c r="H21" s="35"/>
      <c r="I21" s="35"/>
      <c r="J21" s="37"/>
    </row>
    <row r="22" spans="1:10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</row>
    <row r="23" spans="1:10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</row>
    <row r="24" spans="1:10" x14ac:dyDescent="0.25">
      <c r="B24" t="s">
        <v>634</v>
      </c>
    </row>
    <row r="27" spans="1:10" x14ac:dyDescent="0.25">
      <c r="B27" t="s">
        <v>28</v>
      </c>
      <c r="H27" t="s">
        <v>28</v>
      </c>
    </row>
    <row r="28" spans="1:10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3BFDA1F9-699C-4547-86B8-469F7BF88FD5}"/>
  </hyperlinks>
  <pageMargins left="0.2" right="0.1" top="0.25" bottom="0.25" header="0.3" footer="0.3"/>
  <pageSetup paperSize="9" orientation="portrait" r:id="rId2"/>
  <drawing r:id="rId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66FB1-19EE-4572-AC9F-24273AFEC099}">
  <dimension ref="A1:R39"/>
  <sheetViews>
    <sheetView topLeftCell="A12" workbookViewId="0">
      <selection activeCell="F20" activeCellId="1" sqref="F16 F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1246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1245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1247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1248</v>
      </c>
      <c r="C16" s="53" t="s">
        <v>1234</v>
      </c>
      <c r="D16" s="79">
        <v>813</v>
      </c>
      <c r="E16" s="82">
        <v>6</v>
      </c>
      <c r="F16" s="56">
        <f>D16*E16</f>
        <v>4878</v>
      </c>
      <c r="G16" s="56">
        <f>F16*0</f>
        <v>0</v>
      </c>
      <c r="H16" s="74">
        <f>E16*1</f>
        <v>6</v>
      </c>
      <c r="I16" s="56">
        <f>H16*D16</f>
        <v>4878</v>
      </c>
      <c r="J16" s="83"/>
      <c r="M16" s="21">
        <f t="shared" ref="M16:M30" si="0">440*1.02</f>
        <v>448.8</v>
      </c>
      <c r="N16" s="66" t="e">
        <f>M16-#REF!</f>
        <v>#REF!</v>
      </c>
      <c r="O16" s="21" t="e">
        <f t="shared" ref="O16:O30" si="1">N16*D16</f>
        <v>#REF!</v>
      </c>
    </row>
    <row r="17" spans="1:15" s="21" customFormat="1" ht="15.75" x14ac:dyDescent="0.25">
      <c r="A17" s="53">
        <f>A16+1</f>
        <v>2</v>
      </c>
      <c r="B17" s="78" t="s">
        <v>1249</v>
      </c>
      <c r="C17" s="53" t="s">
        <v>1234</v>
      </c>
      <c r="D17" s="79">
        <v>3</v>
      </c>
      <c r="E17" s="82">
        <v>290</v>
      </c>
      <c r="F17" s="56">
        <f t="shared" ref="F17:F18" si="2">D17*E17</f>
        <v>870</v>
      </c>
      <c r="G17" s="56">
        <f t="shared" ref="G17:G18" si="3">F17*0.17</f>
        <v>147.9</v>
      </c>
      <c r="H17" s="74">
        <f t="shared" ref="H17:H18" si="4">E17*1.17</f>
        <v>339.29999999999995</v>
      </c>
      <c r="I17" s="56">
        <f t="shared" ref="I17:I18" si="5">H17*D17</f>
        <v>1017.8999999999999</v>
      </c>
      <c r="J17" s="83"/>
      <c r="N17" s="66"/>
    </row>
    <row r="18" spans="1:15" s="21" customFormat="1" ht="15.75" x14ac:dyDescent="0.25">
      <c r="A18" s="53">
        <f t="shared" ref="A18:A29" si="6">A17+1</f>
        <v>3</v>
      </c>
      <c r="B18" s="78" t="s">
        <v>1250</v>
      </c>
      <c r="C18" s="53" t="s">
        <v>1234</v>
      </c>
      <c r="D18" s="79">
        <v>180</v>
      </c>
      <c r="E18" s="82">
        <v>5.41</v>
      </c>
      <c r="F18" s="56">
        <f t="shared" si="2"/>
        <v>973.80000000000007</v>
      </c>
      <c r="G18" s="56">
        <f t="shared" si="3"/>
        <v>165.54600000000002</v>
      </c>
      <c r="H18" s="74">
        <f t="shared" si="4"/>
        <v>6.3296999999999999</v>
      </c>
      <c r="I18" s="56">
        <f t="shared" si="5"/>
        <v>1139.346</v>
      </c>
      <c r="J18" s="83"/>
      <c r="N18" s="66"/>
    </row>
    <row r="19" spans="1:15" s="21" customFormat="1" ht="15.75" x14ac:dyDescent="0.25">
      <c r="A19" s="53">
        <f t="shared" si="6"/>
        <v>4</v>
      </c>
      <c r="B19" s="78" t="s">
        <v>1251</v>
      </c>
      <c r="C19" s="53" t="s">
        <v>76</v>
      </c>
      <c r="D19" s="79">
        <v>20</v>
      </c>
      <c r="E19" s="82">
        <v>35</v>
      </c>
      <c r="F19" s="56">
        <f t="shared" ref="F19:F20" si="7">D19*E19</f>
        <v>700</v>
      </c>
      <c r="G19" s="56">
        <f t="shared" ref="G19:G30" si="8">F19*0.17</f>
        <v>119.00000000000001</v>
      </c>
      <c r="H19" s="74">
        <f t="shared" ref="H19:H30" si="9">E19*1.17</f>
        <v>40.949999999999996</v>
      </c>
      <c r="I19" s="56">
        <f t="shared" ref="I19:I20" si="10">H19*D19</f>
        <v>818.99999999999989</v>
      </c>
      <c r="J19" s="83"/>
      <c r="N19" s="66"/>
    </row>
    <row r="20" spans="1:15" s="21" customFormat="1" ht="15.75" x14ac:dyDescent="0.25">
      <c r="A20" s="53">
        <f t="shared" si="6"/>
        <v>5</v>
      </c>
      <c r="B20" s="78" t="s">
        <v>1252</v>
      </c>
      <c r="C20" s="53" t="s">
        <v>1234</v>
      </c>
      <c r="D20" s="79">
        <v>690</v>
      </c>
      <c r="E20" s="82">
        <v>25</v>
      </c>
      <c r="F20" s="56">
        <f t="shared" si="7"/>
        <v>17250</v>
      </c>
      <c r="G20" s="56">
        <f>F20*0</f>
        <v>0</v>
      </c>
      <c r="H20" s="74">
        <f>E20*1</f>
        <v>25</v>
      </c>
      <c r="I20" s="56">
        <f t="shared" si="10"/>
        <v>17250</v>
      </c>
      <c r="J20" s="83"/>
      <c r="N20" s="66"/>
    </row>
    <row r="21" spans="1:15" s="21" customFormat="1" ht="15.75" x14ac:dyDescent="0.25">
      <c r="A21" s="53">
        <f t="shared" si="6"/>
        <v>6</v>
      </c>
      <c r="B21" s="78" t="s">
        <v>1253</v>
      </c>
      <c r="C21" s="53" t="s">
        <v>1234</v>
      </c>
      <c r="D21" s="79">
        <v>406</v>
      </c>
      <c r="E21" s="82">
        <v>32</v>
      </c>
      <c r="F21" s="56">
        <f>D21*E21</f>
        <v>12992</v>
      </c>
      <c r="G21" s="56">
        <f t="shared" si="8"/>
        <v>2208.6400000000003</v>
      </c>
      <c r="H21" s="74">
        <f t="shared" si="9"/>
        <v>37.44</v>
      </c>
      <c r="I21" s="56">
        <f>H21*D21</f>
        <v>15200.64</v>
      </c>
      <c r="J21" s="83"/>
      <c r="N21" s="66"/>
    </row>
    <row r="22" spans="1:15" s="21" customFormat="1" ht="15.75" x14ac:dyDescent="0.25">
      <c r="A22" s="53">
        <f t="shared" si="6"/>
        <v>7</v>
      </c>
      <c r="B22" s="78" t="s">
        <v>1254</v>
      </c>
      <c r="C22" s="53" t="s">
        <v>1234</v>
      </c>
      <c r="D22" s="79">
        <v>375</v>
      </c>
      <c r="E22" s="82">
        <v>16</v>
      </c>
      <c r="F22" s="56">
        <f t="shared" ref="F22:F23" si="11">D22*E22</f>
        <v>6000</v>
      </c>
      <c r="G22" s="56">
        <f t="shared" ref="G22:G23" si="12">F22*0.17</f>
        <v>1020.0000000000001</v>
      </c>
      <c r="H22" s="74">
        <f t="shared" ref="H22:H23" si="13">E22*1.17</f>
        <v>18.72</v>
      </c>
      <c r="I22" s="56">
        <f t="shared" ref="I22:I23" si="14">H22*D22</f>
        <v>7020</v>
      </c>
      <c r="J22" s="83"/>
      <c r="N22" s="66"/>
    </row>
    <row r="23" spans="1:15" s="21" customFormat="1" ht="15.75" x14ac:dyDescent="0.25">
      <c r="A23" s="53">
        <f t="shared" si="6"/>
        <v>8</v>
      </c>
      <c r="B23" s="78" t="s">
        <v>1255</v>
      </c>
      <c r="C23" s="53" t="s">
        <v>1234</v>
      </c>
      <c r="D23" s="79">
        <v>25</v>
      </c>
      <c r="E23" s="82">
        <v>170</v>
      </c>
      <c r="F23" s="56">
        <f t="shared" si="11"/>
        <v>4250</v>
      </c>
      <c r="G23" s="56">
        <f t="shared" si="12"/>
        <v>722.5</v>
      </c>
      <c r="H23" s="74">
        <f t="shared" si="13"/>
        <v>198.89999999999998</v>
      </c>
      <c r="I23" s="56">
        <f t="shared" si="14"/>
        <v>4972.4999999999991</v>
      </c>
      <c r="J23" s="83"/>
      <c r="N23" s="66"/>
    </row>
    <row r="24" spans="1:15" s="21" customFormat="1" ht="15.75" x14ac:dyDescent="0.25">
      <c r="A24" s="53">
        <f t="shared" si="6"/>
        <v>9</v>
      </c>
      <c r="B24" s="78" t="s">
        <v>1256</v>
      </c>
      <c r="C24" s="53" t="s">
        <v>1234</v>
      </c>
      <c r="D24" s="79">
        <v>145</v>
      </c>
      <c r="E24" s="82">
        <v>20</v>
      </c>
      <c r="F24" s="56">
        <f t="shared" ref="F24:F25" si="15">D24*E24</f>
        <v>2900</v>
      </c>
      <c r="G24" s="56">
        <f t="shared" ref="G24:G26" si="16">F24*0.17</f>
        <v>493.00000000000006</v>
      </c>
      <c r="H24" s="74">
        <f t="shared" ref="H24:H26" si="17">E24*1.17</f>
        <v>23.4</v>
      </c>
      <c r="I24" s="56">
        <f t="shared" ref="I24:I25" si="18">H24*D24</f>
        <v>3393</v>
      </c>
      <c r="J24" s="83"/>
      <c r="N24" s="66"/>
    </row>
    <row r="25" spans="1:15" s="21" customFormat="1" ht="15.75" x14ac:dyDescent="0.25">
      <c r="A25" s="53">
        <f t="shared" si="6"/>
        <v>10</v>
      </c>
      <c r="B25" s="78" t="s">
        <v>1257</v>
      </c>
      <c r="C25" s="53" t="s">
        <v>1234</v>
      </c>
      <c r="D25" s="79">
        <v>24</v>
      </c>
      <c r="E25" s="82">
        <v>4</v>
      </c>
      <c r="F25" s="56">
        <f t="shared" si="15"/>
        <v>96</v>
      </c>
      <c r="G25" s="56">
        <f t="shared" si="16"/>
        <v>16.32</v>
      </c>
      <c r="H25" s="74">
        <f t="shared" si="17"/>
        <v>4.68</v>
      </c>
      <c r="I25" s="56">
        <f t="shared" si="18"/>
        <v>112.32</v>
      </c>
      <c r="J25" s="83"/>
      <c r="N25" s="66"/>
    </row>
    <row r="26" spans="1:15" s="21" customFormat="1" ht="15.75" x14ac:dyDescent="0.25">
      <c r="A26" s="53">
        <f t="shared" si="6"/>
        <v>11</v>
      </c>
      <c r="B26" s="78" t="s">
        <v>1258</v>
      </c>
      <c r="C26" s="53" t="s">
        <v>76</v>
      </c>
      <c r="D26" s="79">
        <v>250</v>
      </c>
      <c r="E26" s="82">
        <v>25</v>
      </c>
      <c r="F26" s="56">
        <f>D26*E26</f>
        <v>6250</v>
      </c>
      <c r="G26" s="56">
        <f t="shared" si="16"/>
        <v>1062.5</v>
      </c>
      <c r="H26" s="74">
        <f t="shared" si="17"/>
        <v>29.25</v>
      </c>
      <c r="I26" s="56">
        <f>H26*D26</f>
        <v>7312.5</v>
      </c>
      <c r="J26" s="83"/>
      <c r="N26" s="66"/>
    </row>
    <row r="27" spans="1:15" s="21" customFormat="1" ht="15.75" x14ac:dyDescent="0.25">
      <c r="A27" s="53">
        <f t="shared" si="6"/>
        <v>12</v>
      </c>
      <c r="B27" s="78" t="s">
        <v>260</v>
      </c>
      <c r="C27" s="53" t="s">
        <v>1234</v>
      </c>
      <c r="D27" s="79">
        <v>15</v>
      </c>
      <c r="E27" s="82">
        <v>35</v>
      </c>
      <c r="F27" s="56">
        <f t="shared" ref="F27:F30" si="19">D27*E27</f>
        <v>525</v>
      </c>
      <c r="G27" s="56">
        <f t="shared" si="8"/>
        <v>89.25</v>
      </c>
      <c r="H27" s="74">
        <f t="shared" si="9"/>
        <v>40.949999999999996</v>
      </c>
      <c r="I27" s="56">
        <f t="shared" ref="I27:I30" si="20">H27*D27</f>
        <v>614.24999999999989</v>
      </c>
      <c r="J27" s="83"/>
      <c r="N27" s="66"/>
    </row>
    <row r="28" spans="1:15" s="21" customFormat="1" ht="15.75" x14ac:dyDescent="0.25">
      <c r="A28" s="53">
        <f t="shared" si="6"/>
        <v>13</v>
      </c>
      <c r="B28" s="78" t="s">
        <v>210</v>
      </c>
      <c r="C28" s="53" t="s">
        <v>76</v>
      </c>
      <c r="D28" s="79">
        <v>30</v>
      </c>
      <c r="E28" s="82">
        <v>15</v>
      </c>
      <c r="F28" s="56">
        <f t="shared" si="19"/>
        <v>450</v>
      </c>
      <c r="G28" s="56">
        <f t="shared" si="8"/>
        <v>76.5</v>
      </c>
      <c r="H28" s="74">
        <f t="shared" si="9"/>
        <v>17.549999999999997</v>
      </c>
      <c r="I28" s="56">
        <f t="shared" si="20"/>
        <v>526.49999999999989</v>
      </c>
      <c r="J28" s="83"/>
      <c r="N28" s="66"/>
    </row>
    <row r="29" spans="1:15" s="21" customFormat="1" ht="15.75" x14ac:dyDescent="0.25">
      <c r="A29" s="53">
        <f t="shared" si="6"/>
        <v>14</v>
      </c>
      <c r="B29" s="78" t="s">
        <v>1259</v>
      </c>
      <c r="C29" s="53" t="s">
        <v>1234</v>
      </c>
      <c r="D29" s="79">
        <v>30</v>
      </c>
      <c r="E29" s="82">
        <v>210</v>
      </c>
      <c r="F29" s="56">
        <f>D29*E29</f>
        <v>6300</v>
      </c>
      <c r="G29" s="56">
        <f t="shared" si="8"/>
        <v>1071</v>
      </c>
      <c r="H29" s="74">
        <f t="shared" si="9"/>
        <v>245.7</v>
      </c>
      <c r="I29" s="56">
        <f>H29*D29</f>
        <v>7371</v>
      </c>
      <c r="J29" s="83"/>
      <c r="N29" s="66"/>
    </row>
    <row r="30" spans="1:15" s="21" customFormat="1" x14ac:dyDescent="0.25">
      <c r="A30" s="53"/>
      <c r="B30" s="47"/>
      <c r="C30" s="82"/>
      <c r="D30" s="57"/>
      <c r="E30" s="56"/>
      <c r="F30" s="56">
        <f t="shared" si="19"/>
        <v>0</v>
      </c>
      <c r="G30" s="56">
        <f t="shared" si="8"/>
        <v>0</v>
      </c>
      <c r="H30" s="57">
        <f t="shared" si="9"/>
        <v>0</v>
      </c>
      <c r="I30" s="56">
        <f t="shared" si="20"/>
        <v>0</v>
      </c>
      <c r="J30" s="58"/>
      <c r="M30" s="21">
        <f t="shared" si="0"/>
        <v>448.8</v>
      </c>
      <c r="N30" s="66" t="e">
        <f>M30-#REF!</f>
        <v>#REF!</v>
      </c>
      <c r="O30" s="21" t="e">
        <f t="shared" si="1"/>
        <v>#REF!</v>
      </c>
    </row>
    <row r="31" spans="1:15" ht="15.75" thickBot="1" x14ac:dyDescent="0.3">
      <c r="A31" s="33"/>
      <c r="B31" s="34" t="s">
        <v>24</v>
      </c>
      <c r="C31" s="35"/>
      <c r="D31" s="62">
        <f>SUM(D16:D30)</f>
        <v>3006</v>
      </c>
      <c r="E31" s="35"/>
      <c r="F31" s="62">
        <f>SUM(F16:F30)</f>
        <v>64434.8</v>
      </c>
      <c r="G31" s="62">
        <f>SUM(G16:G30)</f>
        <v>7192.1559999999999</v>
      </c>
      <c r="H31" s="35"/>
      <c r="I31" s="62">
        <f>SUM(I16:I30)</f>
        <v>71626.956000000006</v>
      </c>
      <c r="J31" s="37"/>
      <c r="M31" t="e">
        <f>#REF!/117*100</f>
        <v>#REF!</v>
      </c>
      <c r="O31" t="e">
        <f>M31*1.1</f>
        <v>#REF!</v>
      </c>
    </row>
    <row r="32" spans="1:15" ht="15.75" thickTop="1" x14ac:dyDescent="0.25">
      <c r="A32" s="33"/>
      <c r="B32" s="34" t="s">
        <v>1260</v>
      </c>
      <c r="C32" s="35"/>
      <c r="D32" s="35"/>
      <c r="E32" s="35"/>
      <c r="F32" s="35"/>
      <c r="G32" s="35"/>
      <c r="H32" s="35"/>
      <c r="I32" s="35"/>
      <c r="J32" s="37"/>
    </row>
    <row r="33" spans="1:18" x14ac:dyDescent="0.25">
      <c r="A33" s="33"/>
      <c r="B33" s="38" t="s">
        <v>25</v>
      </c>
      <c r="C33" s="35"/>
      <c r="D33" s="35"/>
      <c r="E33" s="35"/>
      <c r="F33" s="35"/>
      <c r="G33" s="35"/>
      <c r="H33" s="35"/>
      <c r="I33" s="35"/>
      <c r="J33" s="37"/>
      <c r="M33" s="64" t="e">
        <f>M31*#REF!</f>
        <v>#REF!</v>
      </c>
      <c r="O33" s="65" t="e">
        <f>#REF!</f>
        <v>#REF!</v>
      </c>
      <c r="P33" s="64" t="e">
        <f>O33-M33</f>
        <v>#REF!</v>
      </c>
      <c r="Q33" s="64" t="e">
        <f>#REF!*0.045</f>
        <v>#REF!</v>
      </c>
      <c r="R33" s="64" t="e">
        <f>P33-Q33</f>
        <v>#REF!</v>
      </c>
    </row>
    <row r="34" spans="1:18" ht="30" customHeight="1" x14ac:dyDescent="0.25">
      <c r="B34" s="183" t="s">
        <v>26</v>
      </c>
      <c r="C34" s="183"/>
      <c r="D34" s="183"/>
      <c r="E34" s="183"/>
      <c r="F34" s="183"/>
      <c r="G34" s="183"/>
      <c r="H34" s="183"/>
      <c r="I34" s="183"/>
      <c r="J34" s="183"/>
      <c r="P34" s="64"/>
      <c r="R34" s="65" t="e">
        <f>#REF!-#REF!</f>
        <v>#REF!</v>
      </c>
    </row>
    <row r="35" spans="1:18" x14ac:dyDescent="0.25">
      <c r="B35" t="s">
        <v>634</v>
      </c>
    </row>
    <row r="38" spans="1:18" x14ac:dyDescent="0.25">
      <c r="B38" t="s">
        <v>28</v>
      </c>
      <c r="H38" t="s">
        <v>28</v>
      </c>
    </row>
    <row r="39" spans="1:18" x14ac:dyDescent="0.25">
      <c r="B39" t="s">
        <v>29</v>
      </c>
      <c r="H39" t="s">
        <v>30</v>
      </c>
    </row>
  </sheetData>
  <autoFilter ref="A15:J35" xr:uid="{00000000-0009-0000-0000-000000000000}"/>
  <mergeCells count="5">
    <mergeCell ref="A6:J6"/>
    <mergeCell ref="I7:J7"/>
    <mergeCell ref="I8:J8"/>
    <mergeCell ref="I9:J9"/>
    <mergeCell ref="B34:J34"/>
  </mergeCells>
  <hyperlinks>
    <hyperlink ref="H5" r:id="rId1" xr:uid="{23793AE7-B859-44EE-9615-50EEA19AF6B7}"/>
  </hyperlinks>
  <pageMargins left="0.2" right="0.1" top="0.25" bottom="0.25" header="0.3" footer="0.3"/>
  <pageSetup paperSize="9" orientation="portrait" r:id="rId2"/>
  <drawing r:id="rId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4106F-166D-440F-82B9-92F7B02C5232}">
  <dimension ref="A1:R29"/>
  <sheetViews>
    <sheetView topLeftCell="A2" workbookViewId="0">
      <selection activeCell="D10" sqref="D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1242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1243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1244</v>
      </c>
      <c r="J9" s="188"/>
    </row>
    <row r="10" spans="1:15" x14ac:dyDescent="0.25">
      <c r="B10" t="s">
        <v>9</v>
      </c>
      <c r="C10" s="10" t="s">
        <v>754</v>
      </c>
      <c r="D10" s="10"/>
      <c r="E10" s="10"/>
      <c r="F10" s="10"/>
    </row>
    <row r="11" spans="1:15" x14ac:dyDescent="0.25">
      <c r="B11" t="s">
        <v>11</v>
      </c>
      <c r="C11" s="10" t="s">
        <v>755</v>
      </c>
      <c r="D11" s="11"/>
      <c r="E11" s="11"/>
      <c r="F11" s="11"/>
    </row>
    <row r="12" spans="1:15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1015</v>
      </c>
      <c r="C16" s="53" t="s">
        <v>987</v>
      </c>
      <c r="D16" s="79">
        <v>5</v>
      </c>
      <c r="E16" s="56">
        <v>150</v>
      </c>
      <c r="F16" s="56">
        <f>D16*E16</f>
        <v>750</v>
      </c>
      <c r="G16" s="56">
        <f t="shared" ref="G16:G20" si="0">F16*0.17</f>
        <v>127.50000000000001</v>
      </c>
      <c r="H16" s="74">
        <f t="shared" ref="H16:H20" si="1">E16*1.17</f>
        <v>175.5</v>
      </c>
      <c r="I16" s="56">
        <f>H16*D16</f>
        <v>877.5</v>
      </c>
      <c r="J16" s="83"/>
      <c r="M16" s="21">
        <f t="shared" ref="M16:M20" si="2">440*1.02</f>
        <v>448.8</v>
      </c>
      <c r="N16" s="66" t="e">
        <f>M16-#REF!</f>
        <v>#REF!</v>
      </c>
      <c r="O16" s="21" t="e">
        <f t="shared" ref="O16:O20" si="3">N16*D16</f>
        <v>#REF!</v>
      </c>
    </row>
    <row r="17" spans="1:18" s="21" customFormat="1" ht="15.75" x14ac:dyDescent="0.25">
      <c r="A17" s="53">
        <v>2</v>
      </c>
      <c r="B17" s="78" t="s">
        <v>1098</v>
      </c>
      <c r="C17" s="53" t="s">
        <v>1234</v>
      </c>
      <c r="D17" s="79">
        <v>6</v>
      </c>
      <c r="E17" s="56">
        <v>90</v>
      </c>
      <c r="F17" s="56">
        <f t="shared" ref="F17:F20" si="4">D17*E17</f>
        <v>540</v>
      </c>
      <c r="G17" s="56">
        <f t="shared" si="0"/>
        <v>91.800000000000011</v>
      </c>
      <c r="H17" s="74">
        <f t="shared" si="1"/>
        <v>105.3</v>
      </c>
      <c r="I17" s="56">
        <f t="shared" ref="I17:I20" si="5">H17*D17</f>
        <v>631.79999999999995</v>
      </c>
      <c r="J17" s="83"/>
      <c r="N17" s="66"/>
    </row>
    <row r="18" spans="1:18" s="21" customFormat="1" ht="15.75" x14ac:dyDescent="0.25">
      <c r="A18" s="53">
        <v>3</v>
      </c>
      <c r="B18" s="78" t="s">
        <v>1100</v>
      </c>
      <c r="C18" s="53" t="s">
        <v>895</v>
      </c>
      <c r="D18" s="79">
        <v>30</v>
      </c>
      <c r="E18" s="56">
        <v>60</v>
      </c>
      <c r="F18" s="56">
        <f t="shared" si="4"/>
        <v>1800</v>
      </c>
      <c r="G18" s="56">
        <f t="shared" si="0"/>
        <v>306</v>
      </c>
      <c r="H18" s="74">
        <f t="shared" si="1"/>
        <v>70.199999999999989</v>
      </c>
      <c r="I18" s="56">
        <f t="shared" si="5"/>
        <v>2105.9999999999995</v>
      </c>
      <c r="J18" s="83"/>
      <c r="N18" s="66"/>
    </row>
    <row r="19" spans="1:18" s="21" customFormat="1" ht="15.75" x14ac:dyDescent="0.25">
      <c r="A19" s="53">
        <v>4</v>
      </c>
      <c r="B19" s="78" t="s">
        <v>1233</v>
      </c>
      <c r="C19" s="53" t="s">
        <v>192</v>
      </c>
      <c r="D19" s="79">
        <v>5</v>
      </c>
      <c r="E19" s="56">
        <v>180</v>
      </c>
      <c r="F19" s="56">
        <f>D19*E19</f>
        <v>900</v>
      </c>
      <c r="G19" s="56">
        <f t="shared" si="0"/>
        <v>153</v>
      </c>
      <c r="H19" s="74">
        <f t="shared" si="1"/>
        <v>210.6</v>
      </c>
      <c r="I19" s="56">
        <f>H19*D19</f>
        <v>1053</v>
      </c>
      <c r="J19" s="83"/>
      <c r="N19" s="66"/>
    </row>
    <row r="20" spans="1:18" s="21" customFormat="1" x14ac:dyDescent="0.25">
      <c r="A20" s="53"/>
      <c r="B20" s="47"/>
      <c r="C20" s="82"/>
      <c r="D20" s="57"/>
      <c r="E20" s="56"/>
      <c r="F20" s="56">
        <f t="shared" si="4"/>
        <v>0</v>
      </c>
      <c r="G20" s="56">
        <f t="shared" si="0"/>
        <v>0</v>
      </c>
      <c r="H20" s="57">
        <f t="shared" si="1"/>
        <v>0</v>
      </c>
      <c r="I20" s="56">
        <f t="shared" si="5"/>
        <v>0</v>
      </c>
      <c r="J20" s="58"/>
      <c r="M20" s="21">
        <f t="shared" si="2"/>
        <v>448.8</v>
      </c>
      <c r="N20" s="66" t="e">
        <f>M20-#REF!</f>
        <v>#REF!</v>
      </c>
      <c r="O20" s="21" t="e">
        <f t="shared" si="3"/>
        <v>#REF!</v>
      </c>
    </row>
    <row r="21" spans="1:18" ht="15.75" thickBot="1" x14ac:dyDescent="0.3">
      <c r="A21" s="33"/>
      <c r="B21" s="34" t="s">
        <v>24</v>
      </c>
      <c r="C21" s="35"/>
      <c r="D21" s="62">
        <f>SUM(D16:D20)</f>
        <v>46</v>
      </c>
      <c r="E21" s="35"/>
      <c r="F21" s="62">
        <f>SUM(F16:F20)</f>
        <v>3990</v>
      </c>
      <c r="G21" s="62">
        <f>SUM(G16:G20)</f>
        <v>678.3</v>
      </c>
      <c r="H21" s="35"/>
      <c r="I21" s="62">
        <f>SUM(I16:I20)</f>
        <v>4668.2999999999993</v>
      </c>
      <c r="J21" s="37"/>
      <c r="M21" t="e">
        <f>#REF!/117*100</f>
        <v>#REF!</v>
      </c>
      <c r="O21" t="e">
        <f>M21*1.1</f>
        <v>#REF!</v>
      </c>
    </row>
    <row r="22" spans="1:18" ht="15.75" thickTop="1" x14ac:dyDescent="0.25">
      <c r="A22" s="33"/>
      <c r="B22" s="34" t="s">
        <v>1235</v>
      </c>
      <c r="C22" s="35"/>
      <c r="D22" s="35"/>
      <c r="E22" s="35"/>
      <c r="F22" s="35"/>
      <c r="G22" s="35"/>
      <c r="H22" s="35"/>
      <c r="I22" s="35"/>
      <c r="J22" s="37"/>
    </row>
    <row r="23" spans="1:18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  <c r="M23" s="64" t="e">
        <f>M21*#REF!</f>
        <v>#REF!</v>
      </c>
      <c r="O23" s="65" t="e">
        <f>#REF!</f>
        <v>#REF!</v>
      </c>
      <c r="P23" s="64" t="e">
        <f>O23-M23</f>
        <v>#REF!</v>
      </c>
      <c r="Q23" s="64" t="e">
        <f>#REF!*0.045</f>
        <v>#REF!</v>
      </c>
      <c r="R23" s="64" t="e">
        <f>P23-Q23</f>
        <v>#REF!</v>
      </c>
    </row>
    <row r="24" spans="1:18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  <c r="P24" s="64"/>
      <c r="R24" s="65" t="e">
        <f>#REF!-#REF!</f>
        <v>#REF!</v>
      </c>
    </row>
    <row r="25" spans="1:18" x14ac:dyDescent="0.25">
      <c r="B25" t="s">
        <v>634</v>
      </c>
    </row>
    <row r="28" spans="1:18" x14ac:dyDescent="0.25">
      <c r="B28" t="s">
        <v>28</v>
      </c>
      <c r="H28" t="s">
        <v>28</v>
      </c>
    </row>
    <row r="29" spans="1:18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483B38D6-62C8-45C6-8C29-F13FF6858A20}"/>
  </hyperlinks>
  <pageMargins left="0.2" right="0.1" top="0.25" bottom="0.25" header="0.3" footer="0.3"/>
  <pageSetup paperSize="9" orientation="portrait" r:id="rId2"/>
  <drawing r:id="rId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B4030-D39A-47C2-805E-3227D3BCFE53}">
  <dimension ref="A1:J25"/>
  <sheetViews>
    <sheetView topLeftCell="A5" workbookViewId="0">
      <selection activeCell="B19" sqref="B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1230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1240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1067</v>
      </c>
      <c r="D10" s="10"/>
      <c r="E10" s="10"/>
      <c r="F10" s="10"/>
    </row>
    <row r="11" spans="1:10" x14ac:dyDescent="0.25">
      <c r="B11" t="s">
        <v>11</v>
      </c>
      <c r="C11" s="10" t="s">
        <v>1068</v>
      </c>
      <c r="D11" s="11"/>
      <c r="E11" s="11"/>
      <c r="F11" s="11"/>
    </row>
    <row r="12" spans="1:10" x14ac:dyDescent="0.25">
      <c r="A12" s="12"/>
      <c r="B12" s="13"/>
      <c r="C12" s="14" t="s">
        <v>1069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1070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1059</v>
      </c>
      <c r="C16" s="54" t="s">
        <v>23</v>
      </c>
      <c r="D16" s="72">
        <v>5</v>
      </c>
      <c r="E16" s="56">
        <v>2500</v>
      </c>
      <c r="F16" s="56">
        <f t="shared" ref="F16" si="0">D16*E16</f>
        <v>12500</v>
      </c>
      <c r="G16" s="56">
        <f>F16*0.17</f>
        <v>2125</v>
      </c>
      <c r="H16" s="84">
        <f>E16*1.17</f>
        <v>2925</v>
      </c>
      <c r="I16" s="56">
        <f t="shared" ref="I16" si="1">H16*D16</f>
        <v>14625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5</v>
      </c>
      <c r="E17" s="35"/>
      <c r="F17" s="62">
        <f>SUM(F16:F16)</f>
        <v>12500</v>
      </c>
      <c r="G17" s="62">
        <f>SUM(G16:G16)</f>
        <v>2125</v>
      </c>
      <c r="H17" s="35"/>
      <c r="I17" s="62">
        <f>SUM(I16:I16)</f>
        <v>14625</v>
      </c>
      <c r="J17" s="37"/>
    </row>
    <row r="18" spans="1:10" ht="15.75" thickTop="1" x14ac:dyDescent="0.25">
      <c r="A18" s="33"/>
      <c r="B18" s="34" t="s">
        <v>1241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F382E7AA-52FF-4FB2-824F-04C1B4AAB1AA}"/>
  </hyperlinks>
  <pageMargins left="0.2" right="0.1" top="0.25" bottom="0.25" header="0.3" footer="0.3"/>
  <pageSetup paperSize="9" orientation="portrait" r:id="rId2"/>
  <drawing r:id="rId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0A142-C632-4E22-979C-257FF0B26AAE}">
  <dimension ref="A1:J25"/>
  <sheetViews>
    <sheetView topLeftCell="A5" workbookViewId="0">
      <selection activeCell="A16" sqref="A16:E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1230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1238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1008</v>
      </c>
      <c r="D10" s="10"/>
      <c r="E10" s="10"/>
      <c r="F10" s="10"/>
    </row>
    <row r="11" spans="1:10" x14ac:dyDescent="0.25">
      <c r="B11" t="s">
        <v>11</v>
      </c>
      <c r="C11" s="10" t="s">
        <v>999</v>
      </c>
      <c r="D11" s="11"/>
      <c r="E11" s="11"/>
      <c r="F11" s="11"/>
    </row>
    <row r="12" spans="1:10" x14ac:dyDescent="0.25">
      <c r="A12" s="12"/>
      <c r="B12" s="13"/>
      <c r="C12" s="14" t="s">
        <v>1000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1009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1059</v>
      </c>
      <c r="C16" s="54" t="s">
        <v>23</v>
      </c>
      <c r="D16" s="72">
        <v>3</v>
      </c>
      <c r="E16" s="56">
        <v>2500</v>
      </c>
      <c r="F16" s="56">
        <f t="shared" ref="F16" si="0">D16*E16</f>
        <v>7500</v>
      </c>
      <c r="G16" s="56">
        <f>F16*0.17</f>
        <v>1275</v>
      </c>
      <c r="H16" s="84">
        <f>E16*1.17</f>
        <v>2925</v>
      </c>
      <c r="I16" s="56">
        <f t="shared" ref="I16" si="1">H16*D16</f>
        <v>8775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3</v>
      </c>
      <c r="E17" s="35"/>
      <c r="F17" s="62">
        <f>SUM(F16:F16)</f>
        <v>7500</v>
      </c>
      <c r="G17" s="62">
        <f>SUM(G16:G16)</f>
        <v>1275</v>
      </c>
      <c r="H17" s="35"/>
      <c r="I17" s="62">
        <f>SUM(I16:I16)</f>
        <v>8775</v>
      </c>
      <c r="J17" s="37"/>
    </row>
    <row r="18" spans="1:10" ht="15.75" thickTop="1" x14ac:dyDescent="0.25">
      <c r="A18" s="33"/>
      <c r="B18" s="34" t="s">
        <v>1239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AFEBB549-C215-4433-AE30-CD9C55B3C347}"/>
  </hyperlinks>
  <pageMargins left="0.2" right="0.1" top="0.25" bottom="0.25" header="0.3" footer="0.3"/>
  <pageSetup paperSize="9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6376B-F073-4EBF-BF0E-7AA33E063D53}">
  <sheetPr filterMode="1"/>
  <dimension ref="A1:R36"/>
  <sheetViews>
    <sheetView topLeftCell="A7" workbookViewId="0">
      <selection activeCell="F18" sqref="F18:F2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2274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hidden="1" x14ac:dyDescent="0.25">
      <c r="A16" s="53">
        <v>1</v>
      </c>
      <c r="B16" s="78" t="s">
        <v>1486</v>
      </c>
      <c r="C16" s="53" t="s">
        <v>1506</v>
      </c>
      <c r="D16" s="79">
        <v>1</v>
      </c>
      <c r="E16" s="56">
        <v>90</v>
      </c>
      <c r="F16" s="56">
        <f t="shared" ref="F16:F26" si="0">D16*E16</f>
        <v>90</v>
      </c>
      <c r="G16" s="149">
        <f t="shared" ref="G16:G25" si="1">F16*0.17</f>
        <v>15.3</v>
      </c>
      <c r="H16" s="85">
        <f t="shared" ref="H16:H25" si="2">E16*1.17</f>
        <v>105.3</v>
      </c>
      <c r="I16" s="56">
        <f t="shared" ref="I16:I26" si="3">H16*D16</f>
        <v>105.3</v>
      </c>
      <c r="J16" s="83"/>
      <c r="N16" s="66"/>
    </row>
    <row r="17" spans="1:18" s="21" customFormat="1" ht="25.5" hidden="1" x14ac:dyDescent="0.25">
      <c r="A17" s="53">
        <v>2</v>
      </c>
      <c r="B17" s="78" t="s">
        <v>1517</v>
      </c>
      <c r="C17" s="53" t="s">
        <v>1506</v>
      </c>
      <c r="D17" s="79">
        <v>1</v>
      </c>
      <c r="E17" s="56">
        <v>250</v>
      </c>
      <c r="F17" s="56">
        <f t="shared" si="0"/>
        <v>250</v>
      </c>
      <c r="G17" s="149">
        <f t="shared" si="1"/>
        <v>42.5</v>
      </c>
      <c r="H17" s="85">
        <f t="shared" si="2"/>
        <v>292.5</v>
      </c>
      <c r="I17" s="56">
        <f t="shared" si="3"/>
        <v>292.5</v>
      </c>
      <c r="J17" s="83"/>
      <c r="N17" s="66"/>
    </row>
    <row r="18" spans="1:18" s="21" customFormat="1" ht="25.5" x14ac:dyDescent="0.25">
      <c r="A18" s="53">
        <v>3</v>
      </c>
      <c r="B18" s="78" t="s">
        <v>1488</v>
      </c>
      <c r="C18" s="53" t="s">
        <v>1505</v>
      </c>
      <c r="D18" s="79">
        <v>1</v>
      </c>
      <c r="E18" s="56">
        <v>25</v>
      </c>
      <c r="F18" s="56">
        <f t="shared" si="0"/>
        <v>25</v>
      </c>
      <c r="G18" s="149">
        <f t="shared" ref="G18:G19" si="4">F18*0</f>
        <v>0</v>
      </c>
      <c r="H18" s="85">
        <f t="shared" ref="H18:H19" si="5">E18*1</f>
        <v>25</v>
      </c>
      <c r="I18" s="56">
        <f t="shared" si="3"/>
        <v>25</v>
      </c>
      <c r="J18" s="83"/>
      <c r="N18" s="66"/>
    </row>
    <row r="19" spans="1:18" s="21" customFormat="1" ht="25.5" x14ac:dyDescent="0.25">
      <c r="A19" s="53">
        <v>4</v>
      </c>
      <c r="B19" s="78" t="s">
        <v>1513</v>
      </c>
      <c r="C19" s="53" t="s">
        <v>1505</v>
      </c>
      <c r="D19" s="79">
        <v>2</v>
      </c>
      <c r="E19" s="56">
        <v>75</v>
      </c>
      <c r="F19" s="56">
        <f t="shared" si="0"/>
        <v>150</v>
      </c>
      <c r="G19" s="149">
        <f t="shared" si="4"/>
        <v>0</v>
      </c>
      <c r="H19" s="85">
        <f t="shared" si="5"/>
        <v>75</v>
      </c>
      <c r="I19" s="56">
        <f t="shared" si="3"/>
        <v>150</v>
      </c>
      <c r="J19" s="83"/>
      <c r="N19" s="66"/>
    </row>
    <row r="20" spans="1:18" s="21" customFormat="1" ht="15.75" hidden="1" x14ac:dyDescent="0.25">
      <c r="A20" s="53">
        <v>5</v>
      </c>
      <c r="B20" s="78" t="s">
        <v>1527</v>
      </c>
      <c r="C20" s="53" t="s">
        <v>23</v>
      </c>
      <c r="D20" s="79">
        <v>1</v>
      </c>
      <c r="E20" s="56">
        <v>28</v>
      </c>
      <c r="F20" s="56">
        <f t="shared" si="0"/>
        <v>28</v>
      </c>
      <c r="G20" s="149">
        <f t="shared" si="1"/>
        <v>4.7600000000000007</v>
      </c>
      <c r="H20" s="85">
        <f t="shared" si="2"/>
        <v>32.76</v>
      </c>
      <c r="I20" s="56">
        <f t="shared" si="3"/>
        <v>32.76</v>
      </c>
      <c r="J20" s="83"/>
      <c r="N20" s="66"/>
    </row>
    <row r="21" spans="1:18" s="21" customFormat="1" ht="15.75" hidden="1" x14ac:dyDescent="0.25">
      <c r="A21" s="53">
        <v>6</v>
      </c>
      <c r="B21" s="78" t="s">
        <v>1493</v>
      </c>
      <c r="C21" s="53" t="s">
        <v>1506</v>
      </c>
      <c r="D21" s="79">
        <v>1</v>
      </c>
      <c r="E21" s="56">
        <v>180</v>
      </c>
      <c r="F21" s="56">
        <f t="shared" si="0"/>
        <v>180</v>
      </c>
      <c r="G21" s="149">
        <f t="shared" si="1"/>
        <v>30.6</v>
      </c>
      <c r="H21" s="85">
        <f t="shared" si="2"/>
        <v>210.6</v>
      </c>
      <c r="I21" s="56">
        <f t="shared" si="3"/>
        <v>210.6</v>
      </c>
      <c r="J21" s="83"/>
      <c r="N21" s="66"/>
    </row>
    <row r="22" spans="1:18" s="21" customFormat="1" ht="15.75" hidden="1" x14ac:dyDescent="0.25">
      <c r="A22" s="53">
        <v>7</v>
      </c>
      <c r="B22" s="78" t="s">
        <v>1536</v>
      </c>
      <c r="C22" s="53" t="s">
        <v>1506</v>
      </c>
      <c r="D22" s="79">
        <v>2</v>
      </c>
      <c r="E22" s="56">
        <v>25</v>
      </c>
      <c r="F22" s="56">
        <f t="shared" si="0"/>
        <v>50</v>
      </c>
      <c r="G22" s="149">
        <f t="shared" si="1"/>
        <v>8.5</v>
      </c>
      <c r="H22" s="85">
        <f t="shared" si="2"/>
        <v>29.25</v>
      </c>
      <c r="I22" s="56">
        <f t="shared" si="3"/>
        <v>58.5</v>
      </c>
      <c r="J22" s="83"/>
      <c r="N22" s="66"/>
    </row>
    <row r="23" spans="1:18" s="21" customFormat="1" ht="15.75" hidden="1" x14ac:dyDescent="0.25">
      <c r="A23" s="53">
        <v>8</v>
      </c>
      <c r="B23" s="78" t="s">
        <v>1497</v>
      </c>
      <c r="C23" s="53" t="s">
        <v>1506</v>
      </c>
      <c r="D23" s="79">
        <v>1</v>
      </c>
      <c r="E23" s="56">
        <v>28</v>
      </c>
      <c r="F23" s="56">
        <f t="shared" si="0"/>
        <v>28</v>
      </c>
      <c r="G23" s="149">
        <f t="shared" si="1"/>
        <v>4.7600000000000007</v>
      </c>
      <c r="H23" s="85">
        <f t="shared" si="2"/>
        <v>32.76</v>
      </c>
      <c r="I23" s="56">
        <f t="shared" si="3"/>
        <v>32.76</v>
      </c>
      <c r="J23" s="83"/>
      <c r="N23" s="66"/>
    </row>
    <row r="24" spans="1:18" s="21" customFormat="1" ht="15.75" hidden="1" x14ac:dyDescent="0.25">
      <c r="A24" s="53">
        <v>9</v>
      </c>
      <c r="B24" s="78" t="s">
        <v>1498</v>
      </c>
      <c r="C24" s="53" t="s">
        <v>1506</v>
      </c>
      <c r="D24" s="79">
        <v>1</v>
      </c>
      <c r="E24" s="56">
        <v>175</v>
      </c>
      <c r="F24" s="56">
        <f t="shared" si="0"/>
        <v>175</v>
      </c>
      <c r="G24" s="149">
        <f t="shared" si="1"/>
        <v>29.750000000000004</v>
      </c>
      <c r="H24" s="85">
        <f t="shared" si="2"/>
        <v>204.75</v>
      </c>
      <c r="I24" s="56">
        <f t="shared" si="3"/>
        <v>204.75</v>
      </c>
      <c r="J24" s="83"/>
      <c r="N24" s="66"/>
    </row>
    <row r="25" spans="1:18" s="21" customFormat="1" ht="15.75" hidden="1" x14ac:dyDescent="0.25">
      <c r="A25" s="53">
        <v>10</v>
      </c>
      <c r="B25" s="78" t="s">
        <v>1544</v>
      </c>
      <c r="C25" s="53" t="s">
        <v>1506</v>
      </c>
      <c r="D25" s="79">
        <v>1</v>
      </c>
      <c r="E25" s="56">
        <v>100</v>
      </c>
      <c r="F25" s="56">
        <f t="shared" si="0"/>
        <v>100</v>
      </c>
      <c r="G25" s="149">
        <f t="shared" si="1"/>
        <v>17</v>
      </c>
      <c r="H25" s="85">
        <f t="shared" si="2"/>
        <v>117</v>
      </c>
      <c r="I25" s="56">
        <f t="shared" si="3"/>
        <v>117</v>
      </c>
      <c r="J25" s="83"/>
      <c r="N25" s="66"/>
    </row>
    <row r="26" spans="1:18" s="21" customFormat="1" ht="15.75" x14ac:dyDescent="0.25">
      <c r="A26" s="53">
        <v>11</v>
      </c>
      <c r="B26" s="78" t="s">
        <v>1949</v>
      </c>
      <c r="C26" s="53" t="s">
        <v>76</v>
      </c>
      <c r="D26" s="79">
        <v>4</v>
      </c>
      <c r="E26" s="56">
        <v>75</v>
      </c>
      <c r="F26" s="56">
        <f t="shared" si="0"/>
        <v>300</v>
      </c>
      <c r="G26" s="149">
        <f t="shared" ref="G26" si="6">F26*0</f>
        <v>0</v>
      </c>
      <c r="H26" s="85">
        <f t="shared" ref="H26" si="7">E26*1</f>
        <v>75</v>
      </c>
      <c r="I26" s="56">
        <f t="shared" si="3"/>
        <v>300</v>
      </c>
      <c r="J26" s="83"/>
      <c r="N26" s="66"/>
    </row>
    <row r="27" spans="1:18" s="21" customFormat="1" ht="15.75" hidden="1" x14ac:dyDescent="0.25">
      <c r="A27" s="53"/>
      <c r="B27" s="78"/>
      <c r="C27" s="53"/>
      <c r="D27" s="79"/>
      <c r="E27" s="56"/>
      <c r="F27" s="56"/>
      <c r="G27" s="149"/>
      <c r="H27" s="85"/>
      <c r="I27" s="56"/>
      <c r="J27" s="83"/>
      <c r="N27" s="66"/>
    </row>
    <row r="28" spans="1:18" ht="15.75" hidden="1" thickBot="1" x14ac:dyDescent="0.3">
      <c r="A28" s="33"/>
      <c r="B28" s="34" t="s">
        <v>24</v>
      </c>
      <c r="C28" s="35"/>
      <c r="D28" s="62">
        <f>SUM(D16:D27)</f>
        <v>16</v>
      </c>
      <c r="E28" s="35"/>
      <c r="F28" s="62">
        <f>SUM(F16:F27)</f>
        <v>1376</v>
      </c>
      <c r="G28" s="62">
        <f>SUM(G16:G27)</f>
        <v>153.17000000000002</v>
      </c>
      <c r="H28" s="35"/>
      <c r="I28" s="62">
        <f>SUM(I16:I27)</f>
        <v>1529.17</v>
      </c>
      <c r="J28" s="37"/>
    </row>
    <row r="29" spans="1:18" hidden="1" x14ac:dyDescent="0.25">
      <c r="A29" s="33"/>
      <c r="B29" s="34" t="s">
        <v>2275</v>
      </c>
      <c r="C29" s="35"/>
      <c r="D29" s="35"/>
      <c r="E29" s="35"/>
      <c r="F29" s="35"/>
      <c r="G29" s="35"/>
      <c r="H29" s="35"/>
      <c r="I29" s="35"/>
      <c r="J29" s="37"/>
    </row>
    <row r="30" spans="1:18" hidden="1" x14ac:dyDescent="0.25">
      <c r="A30" s="33"/>
      <c r="B30" s="38" t="s">
        <v>25</v>
      </c>
      <c r="C30" s="35"/>
      <c r="D30" s="35"/>
      <c r="E30" s="35"/>
      <c r="F30" s="35"/>
      <c r="G30" s="35"/>
      <c r="H30" s="35"/>
      <c r="I30" s="35"/>
      <c r="J30" s="37"/>
      <c r="M30" s="64"/>
      <c r="O30" s="65"/>
      <c r="P30" s="64"/>
      <c r="Q30" s="64"/>
      <c r="R30" s="64"/>
    </row>
    <row r="31" spans="1:18" ht="30" hidden="1" customHeight="1" x14ac:dyDescent="0.25">
      <c r="B31" s="183" t="s">
        <v>26</v>
      </c>
      <c r="C31" s="183"/>
      <c r="D31" s="183"/>
      <c r="E31" s="183"/>
      <c r="F31" s="183"/>
      <c r="G31" s="183"/>
      <c r="H31" s="183"/>
      <c r="I31" s="183"/>
      <c r="J31" s="183"/>
      <c r="P31" s="64"/>
      <c r="R31" s="65"/>
    </row>
    <row r="32" spans="1:18" hidden="1" x14ac:dyDescent="0.25">
      <c r="B32" t="s">
        <v>634</v>
      </c>
    </row>
    <row r="35" spans="2:8" x14ac:dyDescent="0.25">
      <c r="B35" t="s">
        <v>28</v>
      </c>
      <c r="H35" t="s">
        <v>28</v>
      </c>
    </row>
    <row r="36" spans="2:8" x14ac:dyDescent="0.25">
      <c r="B36" t="s">
        <v>29</v>
      </c>
      <c r="H36" t="s">
        <v>30</v>
      </c>
    </row>
  </sheetData>
  <autoFilter ref="A15:J32" xr:uid="{00000000-0009-0000-0000-000000000000}">
    <filterColumn colId="6">
      <filters>
        <filter val="-"/>
      </filters>
    </filterColumn>
  </autoFilter>
  <mergeCells count="5">
    <mergeCell ref="A6:J6"/>
    <mergeCell ref="I7:J7"/>
    <mergeCell ref="I8:J8"/>
    <mergeCell ref="I9:J9"/>
    <mergeCell ref="B31:J31"/>
  </mergeCells>
  <hyperlinks>
    <hyperlink ref="H5" r:id="rId1" xr:uid="{B1BE0771-81A3-4095-986E-DF3236EA1402}"/>
  </hyperlinks>
  <pageMargins left="0.2" right="0.1" top="0.25" bottom="0.25" header="0.3" footer="0.3"/>
  <pageSetup paperSize="9" orientation="portrait" r:id="rId2"/>
  <drawing r:id="rId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62C17-011F-4073-A3D2-0A5B3075CBD1}">
  <dimension ref="A1:R29"/>
  <sheetViews>
    <sheetView workbookViewId="0">
      <selection activeCell="I10" sqref="I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1237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1236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1232</v>
      </c>
      <c r="J9" s="188"/>
    </row>
    <row r="10" spans="1:15" x14ac:dyDescent="0.25">
      <c r="B10" t="s">
        <v>9</v>
      </c>
      <c r="C10" s="10" t="s">
        <v>754</v>
      </c>
      <c r="D10" s="10"/>
      <c r="E10" s="10"/>
      <c r="F10" s="10"/>
    </row>
    <row r="11" spans="1:15" x14ac:dyDescent="0.25">
      <c r="B11" t="s">
        <v>11</v>
      </c>
      <c r="C11" s="10" t="s">
        <v>755</v>
      </c>
      <c r="D11" s="11"/>
      <c r="E11" s="11"/>
      <c r="F11" s="11"/>
    </row>
    <row r="12" spans="1:15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1015</v>
      </c>
      <c r="C16" s="53" t="s">
        <v>987</v>
      </c>
      <c r="D16" s="79">
        <v>5</v>
      </c>
      <c r="E16" s="56">
        <v>150</v>
      </c>
      <c r="F16" s="56">
        <f>D16*E16</f>
        <v>750</v>
      </c>
      <c r="G16" s="56">
        <f t="shared" ref="G16:G20" si="0">F16*0.17</f>
        <v>127.50000000000001</v>
      </c>
      <c r="H16" s="74">
        <f t="shared" ref="H16:H20" si="1">E16*1.17</f>
        <v>175.5</v>
      </c>
      <c r="I16" s="56">
        <f>H16*D16</f>
        <v>877.5</v>
      </c>
      <c r="J16" s="83"/>
      <c r="M16" s="21">
        <f t="shared" ref="M16:M20" si="2">440*1.02</f>
        <v>448.8</v>
      </c>
      <c r="N16" s="66" t="e">
        <f>M16-#REF!</f>
        <v>#REF!</v>
      </c>
      <c r="O16" s="21" t="e">
        <f t="shared" ref="O16:O20" si="3">N16*D16</f>
        <v>#REF!</v>
      </c>
    </row>
    <row r="17" spans="1:18" s="21" customFormat="1" ht="15.75" x14ac:dyDescent="0.25">
      <c r="A17" s="53">
        <v>2</v>
      </c>
      <c r="B17" s="78" t="s">
        <v>1098</v>
      </c>
      <c r="C17" s="53" t="s">
        <v>1234</v>
      </c>
      <c r="D17" s="79">
        <v>6</v>
      </c>
      <c r="E17" s="56">
        <v>90</v>
      </c>
      <c r="F17" s="56">
        <f t="shared" ref="F17:F20" si="4">D17*E17</f>
        <v>540</v>
      </c>
      <c r="G17" s="56">
        <f t="shared" si="0"/>
        <v>91.800000000000011</v>
      </c>
      <c r="H17" s="74">
        <f t="shared" si="1"/>
        <v>105.3</v>
      </c>
      <c r="I17" s="56">
        <f t="shared" ref="I17:I20" si="5">H17*D17</f>
        <v>631.79999999999995</v>
      </c>
      <c r="J17" s="83"/>
      <c r="N17" s="66"/>
    </row>
    <row r="18" spans="1:18" s="21" customFormat="1" ht="15.75" x14ac:dyDescent="0.25">
      <c r="A18" s="53">
        <v>3</v>
      </c>
      <c r="B18" s="78" t="s">
        <v>1100</v>
      </c>
      <c r="C18" s="53" t="s">
        <v>895</v>
      </c>
      <c r="D18" s="79">
        <v>30</v>
      </c>
      <c r="E18" s="56">
        <v>60</v>
      </c>
      <c r="F18" s="56">
        <f t="shared" si="4"/>
        <v>1800</v>
      </c>
      <c r="G18" s="56">
        <f t="shared" si="0"/>
        <v>306</v>
      </c>
      <c r="H18" s="74">
        <f t="shared" si="1"/>
        <v>70.199999999999989</v>
      </c>
      <c r="I18" s="56">
        <f t="shared" si="5"/>
        <v>2105.9999999999995</v>
      </c>
      <c r="J18" s="83"/>
      <c r="N18" s="66"/>
    </row>
    <row r="19" spans="1:18" s="21" customFormat="1" ht="15.75" x14ac:dyDescent="0.25">
      <c r="A19" s="53">
        <v>4</v>
      </c>
      <c r="B19" s="78" t="s">
        <v>1233</v>
      </c>
      <c r="C19" s="53" t="s">
        <v>192</v>
      </c>
      <c r="D19" s="79">
        <v>5</v>
      </c>
      <c r="E19" s="56">
        <v>180</v>
      </c>
      <c r="F19" s="56">
        <f>D19*E19</f>
        <v>900</v>
      </c>
      <c r="G19" s="56">
        <f t="shared" si="0"/>
        <v>153</v>
      </c>
      <c r="H19" s="74">
        <f t="shared" si="1"/>
        <v>210.6</v>
      </c>
      <c r="I19" s="56">
        <f>H19*D19</f>
        <v>1053</v>
      </c>
      <c r="J19" s="83"/>
      <c r="N19" s="66"/>
    </row>
    <row r="20" spans="1:18" s="21" customFormat="1" x14ac:dyDescent="0.25">
      <c r="A20" s="53"/>
      <c r="B20" s="47"/>
      <c r="C20" s="82"/>
      <c r="D20" s="57"/>
      <c r="E20" s="56"/>
      <c r="F20" s="56">
        <f t="shared" si="4"/>
        <v>0</v>
      </c>
      <c r="G20" s="56">
        <f t="shared" si="0"/>
        <v>0</v>
      </c>
      <c r="H20" s="57">
        <f t="shared" si="1"/>
        <v>0</v>
      </c>
      <c r="I20" s="56">
        <f t="shared" si="5"/>
        <v>0</v>
      </c>
      <c r="J20" s="58"/>
      <c r="M20" s="21">
        <f t="shared" si="2"/>
        <v>448.8</v>
      </c>
      <c r="N20" s="66" t="e">
        <f>M20-#REF!</f>
        <v>#REF!</v>
      </c>
      <c r="O20" s="21" t="e">
        <f t="shared" si="3"/>
        <v>#REF!</v>
      </c>
    </row>
    <row r="21" spans="1:18" ht="15.75" thickBot="1" x14ac:dyDescent="0.3">
      <c r="A21" s="33"/>
      <c r="B21" s="34" t="s">
        <v>24</v>
      </c>
      <c r="C21" s="35"/>
      <c r="D21" s="62">
        <f>SUM(D16:D20)</f>
        <v>46</v>
      </c>
      <c r="E21" s="35"/>
      <c r="F21" s="62">
        <f>SUM(F16:F20)</f>
        <v>3990</v>
      </c>
      <c r="G21" s="62">
        <f>SUM(G16:G20)</f>
        <v>678.3</v>
      </c>
      <c r="H21" s="35"/>
      <c r="I21" s="62">
        <f>SUM(I16:I20)</f>
        <v>4668.2999999999993</v>
      </c>
      <c r="J21" s="37"/>
      <c r="M21" t="e">
        <f>#REF!/117*100</f>
        <v>#REF!</v>
      </c>
      <c r="O21" t="e">
        <f>M21*1.1</f>
        <v>#REF!</v>
      </c>
    </row>
    <row r="22" spans="1:18" ht="15.75" thickTop="1" x14ac:dyDescent="0.25">
      <c r="A22" s="33"/>
      <c r="B22" s="34" t="s">
        <v>1235</v>
      </c>
      <c r="C22" s="35"/>
      <c r="D22" s="35"/>
      <c r="E22" s="35"/>
      <c r="F22" s="35"/>
      <c r="G22" s="35"/>
      <c r="H22" s="35"/>
      <c r="I22" s="35"/>
      <c r="J22" s="37"/>
    </row>
    <row r="23" spans="1:18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  <c r="M23" s="64" t="e">
        <f>M21*#REF!</f>
        <v>#REF!</v>
      </c>
      <c r="O23" s="65" t="e">
        <f>#REF!</f>
        <v>#REF!</v>
      </c>
      <c r="P23" s="64" t="e">
        <f>O23-M23</f>
        <v>#REF!</v>
      </c>
      <c r="Q23" s="64" t="e">
        <f>#REF!*0.045</f>
        <v>#REF!</v>
      </c>
      <c r="R23" s="64" t="e">
        <f>P23-Q23</f>
        <v>#REF!</v>
      </c>
    </row>
    <row r="24" spans="1:18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  <c r="P24" s="64"/>
      <c r="R24" s="65" t="e">
        <f>#REF!-#REF!</f>
        <v>#REF!</v>
      </c>
    </row>
    <row r="25" spans="1:18" x14ac:dyDescent="0.25">
      <c r="B25" t="s">
        <v>634</v>
      </c>
    </row>
    <row r="28" spans="1:18" x14ac:dyDescent="0.25">
      <c r="B28" t="s">
        <v>28</v>
      </c>
      <c r="H28" t="s">
        <v>28</v>
      </c>
    </row>
    <row r="29" spans="1:18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978A3E30-3FE0-4CE8-83EB-1B343C8EEBA0}"/>
  </hyperlinks>
  <pageMargins left="0.2" right="0.1" top="0.25" bottom="0.25" header="0.3" footer="0.3"/>
  <pageSetup paperSize="9" orientation="portrait" r:id="rId2"/>
  <drawing r:id="rId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6C556-4C6B-4056-8E35-7CD615282AAA}">
  <dimension ref="A1:R29"/>
  <sheetViews>
    <sheetView workbookViewId="0">
      <selection activeCell="A5" sqref="A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1230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1231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1232</v>
      </c>
      <c r="J9" s="188"/>
    </row>
    <row r="10" spans="1:15" x14ac:dyDescent="0.25">
      <c r="B10" t="s">
        <v>9</v>
      </c>
      <c r="C10" s="10" t="s">
        <v>754</v>
      </c>
      <c r="D10" s="10"/>
      <c r="E10" s="10"/>
      <c r="F10" s="10"/>
    </row>
    <row r="11" spans="1:15" x14ac:dyDescent="0.25">
      <c r="B11" t="s">
        <v>11</v>
      </c>
      <c r="C11" s="10" t="s">
        <v>755</v>
      </c>
      <c r="D11" s="11"/>
      <c r="E11" s="11"/>
      <c r="F11" s="11"/>
    </row>
    <row r="12" spans="1:15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1015</v>
      </c>
      <c r="C16" s="53" t="s">
        <v>987</v>
      </c>
      <c r="D16" s="79">
        <v>5</v>
      </c>
      <c r="E16" s="56">
        <v>150</v>
      </c>
      <c r="F16" s="56">
        <f>D16*E16</f>
        <v>750</v>
      </c>
      <c r="G16" s="56">
        <f t="shared" ref="G16:G20" si="0">F16*0.17</f>
        <v>127.50000000000001</v>
      </c>
      <c r="H16" s="74">
        <f t="shared" ref="H16:H20" si="1">E16*1.17</f>
        <v>175.5</v>
      </c>
      <c r="I16" s="56">
        <f>H16*D16</f>
        <v>877.5</v>
      </c>
      <c r="J16" s="83"/>
      <c r="M16" s="21">
        <f t="shared" ref="M16:M20" si="2">440*1.02</f>
        <v>448.8</v>
      </c>
      <c r="N16" s="66" t="e">
        <f>M16-#REF!</f>
        <v>#REF!</v>
      </c>
      <c r="O16" s="21" t="e">
        <f t="shared" ref="O16:O20" si="3">N16*D16</f>
        <v>#REF!</v>
      </c>
    </row>
    <row r="17" spans="1:18" s="21" customFormat="1" ht="15.75" x14ac:dyDescent="0.25">
      <c r="A17" s="53">
        <v>2</v>
      </c>
      <c r="B17" s="78" t="s">
        <v>1098</v>
      </c>
      <c r="C17" s="53" t="s">
        <v>1234</v>
      </c>
      <c r="D17" s="79">
        <v>6</v>
      </c>
      <c r="E17" s="56">
        <v>90</v>
      </c>
      <c r="F17" s="56">
        <f t="shared" ref="F17:F20" si="4">D17*E17</f>
        <v>540</v>
      </c>
      <c r="G17" s="56">
        <f t="shared" si="0"/>
        <v>91.800000000000011</v>
      </c>
      <c r="H17" s="74">
        <f t="shared" si="1"/>
        <v>105.3</v>
      </c>
      <c r="I17" s="56">
        <f t="shared" ref="I17:I20" si="5">H17*D17</f>
        <v>631.79999999999995</v>
      </c>
      <c r="J17" s="83"/>
      <c r="N17" s="66"/>
    </row>
    <row r="18" spans="1:18" s="21" customFormat="1" ht="15.75" x14ac:dyDescent="0.25">
      <c r="A18" s="53">
        <v>3</v>
      </c>
      <c r="B18" s="78" t="s">
        <v>1100</v>
      </c>
      <c r="C18" s="53" t="s">
        <v>895</v>
      </c>
      <c r="D18" s="79">
        <v>30</v>
      </c>
      <c r="E18" s="56">
        <v>60</v>
      </c>
      <c r="F18" s="56">
        <f t="shared" si="4"/>
        <v>1800</v>
      </c>
      <c r="G18" s="56">
        <f t="shared" si="0"/>
        <v>306</v>
      </c>
      <c r="H18" s="74">
        <f t="shared" si="1"/>
        <v>70.199999999999989</v>
      </c>
      <c r="I18" s="56">
        <f t="shared" si="5"/>
        <v>2105.9999999999995</v>
      </c>
      <c r="J18" s="83"/>
      <c r="N18" s="66"/>
    </row>
    <row r="19" spans="1:18" s="21" customFormat="1" ht="15.75" x14ac:dyDescent="0.25">
      <c r="A19" s="53">
        <v>4</v>
      </c>
      <c r="B19" s="78" t="s">
        <v>1233</v>
      </c>
      <c r="C19" s="53" t="s">
        <v>192</v>
      </c>
      <c r="D19" s="79">
        <v>5</v>
      </c>
      <c r="E19" s="56">
        <v>180</v>
      </c>
      <c r="F19" s="56">
        <f>D19*E19</f>
        <v>900</v>
      </c>
      <c r="G19" s="56">
        <f t="shared" si="0"/>
        <v>153</v>
      </c>
      <c r="H19" s="74">
        <f t="shared" si="1"/>
        <v>210.6</v>
      </c>
      <c r="I19" s="56">
        <f>H19*D19</f>
        <v>1053</v>
      </c>
      <c r="J19" s="83"/>
      <c r="N19" s="66"/>
    </row>
    <row r="20" spans="1:18" s="21" customFormat="1" x14ac:dyDescent="0.25">
      <c r="A20" s="53"/>
      <c r="B20" s="47"/>
      <c r="C20" s="82"/>
      <c r="D20" s="57"/>
      <c r="E20" s="56"/>
      <c r="F20" s="56">
        <f t="shared" si="4"/>
        <v>0</v>
      </c>
      <c r="G20" s="56">
        <f t="shared" si="0"/>
        <v>0</v>
      </c>
      <c r="H20" s="57">
        <f t="shared" si="1"/>
        <v>0</v>
      </c>
      <c r="I20" s="56">
        <f t="shared" si="5"/>
        <v>0</v>
      </c>
      <c r="J20" s="58"/>
      <c r="M20" s="21">
        <f t="shared" si="2"/>
        <v>448.8</v>
      </c>
      <c r="N20" s="66" t="e">
        <f>M20-#REF!</f>
        <v>#REF!</v>
      </c>
      <c r="O20" s="21" t="e">
        <f t="shared" si="3"/>
        <v>#REF!</v>
      </c>
    </row>
    <row r="21" spans="1:18" ht="15.75" thickBot="1" x14ac:dyDescent="0.3">
      <c r="A21" s="33"/>
      <c r="B21" s="34" t="s">
        <v>24</v>
      </c>
      <c r="C21" s="35"/>
      <c r="D21" s="62">
        <f>SUM(D16:D20)</f>
        <v>46</v>
      </c>
      <c r="E21" s="35"/>
      <c r="F21" s="62">
        <f>SUM(F16:F20)</f>
        <v>3990</v>
      </c>
      <c r="G21" s="62">
        <f>SUM(G16:G20)</f>
        <v>678.3</v>
      </c>
      <c r="H21" s="35"/>
      <c r="I21" s="62">
        <f>SUM(I16:I20)</f>
        <v>4668.2999999999993</v>
      </c>
      <c r="J21" s="37"/>
      <c r="M21" t="e">
        <f>#REF!/117*100</f>
        <v>#REF!</v>
      </c>
      <c r="O21" t="e">
        <f>M21*1.1</f>
        <v>#REF!</v>
      </c>
    </row>
    <row r="22" spans="1:18" ht="15.75" thickTop="1" x14ac:dyDescent="0.25">
      <c r="A22" s="33"/>
      <c r="B22" s="34" t="s">
        <v>1235</v>
      </c>
      <c r="C22" s="35"/>
      <c r="D22" s="35"/>
      <c r="E22" s="35"/>
      <c r="F22" s="35"/>
      <c r="G22" s="35"/>
      <c r="H22" s="35"/>
      <c r="I22" s="35"/>
      <c r="J22" s="37"/>
    </row>
    <row r="23" spans="1:18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  <c r="M23" s="64" t="e">
        <f>M21*#REF!</f>
        <v>#REF!</v>
      </c>
      <c r="O23" s="65" t="e">
        <f>#REF!</f>
        <v>#REF!</v>
      </c>
      <c r="P23" s="64" t="e">
        <f>O23-M23</f>
        <v>#REF!</v>
      </c>
      <c r="Q23" s="64" t="e">
        <f>#REF!*0.045</f>
        <v>#REF!</v>
      </c>
      <c r="R23" s="64" t="e">
        <f>P23-Q23</f>
        <v>#REF!</v>
      </c>
    </row>
    <row r="24" spans="1:18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  <c r="P24" s="64"/>
      <c r="R24" s="65" t="e">
        <f>#REF!-#REF!</f>
        <v>#REF!</v>
      </c>
    </row>
    <row r="25" spans="1:18" x14ac:dyDescent="0.25">
      <c r="B25" t="s">
        <v>634</v>
      </c>
    </row>
    <row r="28" spans="1:18" x14ac:dyDescent="0.25">
      <c r="B28" t="s">
        <v>28</v>
      </c>
      <c r="H28" t="s">
        <v>28</v>
      </c>
    </row>
    <row r="29" spans="1:18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4B46A369-9B88-4130-8A6B-BB224C2AC3AF}"/>
  </hyperlinks>
  <pageMargins left="0.2" right="0.1" top="0.25" bottom="0.25" header="0.3" footer="0.3"/>
  <pageSetup paperSize="9" orientation="portrait" r:id="rId2"/>
  <drawing r:id="rId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B7020-F7AC-41BD-8BAB-E5468A7AD7E5}">
  <dimension ref="A1:J26"/>
  <sheetViews>
    <sheetView topLeftCell="A6" workbookViewId="0">
      <selection activeCell="A19" sqref="A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1217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1227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1228</v>
      </c>
      <c r="J9" s="188"/>
    </row>
    <row r="10" spans="1:10" x14ac:dyDescent="0.25">
      <c r="B10" t="s">
        <v>9</v>
      </c>
      <c r="C10" s="10" t="s">
        <v>1008</v>
      </c>
      <c r="D10" s="10"/>
      <c r="E10" s="10"/>
      <c r="F10" s="10"/>
    </row>
    <row r="11" spans="1:10" x14ac:dyDescent="0.25">
      <c r="B11" t="s">
        <v>11</v>
      </c>
      <c r="C11" s="10" t="s">
        <v>999</v>
      </c>
      <c r="D11" s="11"/>
      <c r="E11" s="11"/>
      <c r="F11" s="11"/>
    </row>
    <row r="12" spans="1:10" x14ac:dyDescent="0.25">
      <c r="A12" s="12"/>
      <c r="B12" s="13"/>
      <c r="C12" s="14" t="s">
        <v>1000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1009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1010</v>
      </c>
      <c r="C16" s="54" t="s">
        <v>23</v>
      </c>
      <c r="D16" s="72">
        <v>2</v>
      </c>
      <c r="E16" s="56">
        <v>3000</v>
      </c>
      <c r="F16" s="56">
        <f t="shared" ref="F16:F17" si="0">D16*E16</f>
        <v>6000</v>
      </c>
      <c r="G16" s="56">
        <f>F16*0.17</f>
        <v>1020.0000000000001</v>
      </c>
      <c r="H16" s="84">
        <f>E16*1.17</f>
        <v>3510</v>
      </c>
      <c r="I16" s="56">
        <f t="shared" ref="I16:I17" si="1">H16*D16</f>
        <v>7020</v>
      </c>
      <c r="J16" s="58"/>
    </row>
    <row r="17" spans="1:10" s="21" customFormat="1" ht="30" x14ac:dyDescent="0.25">
      <c r="A17" s="53">
        <v>2</v>
      </c>
      <c r="B17" s="47" t="s">
        <v>1059</v>
      </c>
      <c r="C17" s="54" t="s">
        <v>23</v>
      </c>
      <c r="D17" s="72">
        <v>2</v>
      </c>
      <c r="E17" s="56">
        <v>2500</v>
      </c>
      <c r="F17" s="56">
        <f t="shared" si="0"/>
        <v>5000</v>
      </c>
      <c r="G17" s="56">
        <f>F17*0.17</f>
        <v>850.00000000000011</v>
      </c>
      <c r="H17" s="84">
        <f>E17*1.17</f>
        <v>2925</v>
      </c>
      <c r="I17" s="56">
        <f t="shared" si="1"/>
        <v>5850</v>
      </c>
      <c r="J17" s="58"/>
    </row>
    <row r="18" spans="1:10" ht="15.75" thickBot="1" x14ac:dyDescent="0.3">
      <c r="A18" s="33"/>
      <c r="B18" s="34" t="s">
        <v>24</v>
      </c>
      <c r="C18" s="35"/>
      <c r="D18" s="62">
        <f>SUM(D16:D17)</f>
        <v>4</v>
      </c>
      <c r="E18" s="35"/>
      <c r="F18" s="62">
        <f>SUM(F16:F17)</f>
        <v>11000</v>
      </c>
      <c r="G18" s="62">
        <f>SUM(G16:G17)</f>
        <v>1870.0000000000002</v>
      </c>
      <c r="H18" s="35"/>
      <c r="I18" s="62">
        <f>SUM(I16:I17)</f>
        <v>12870</v>
      </c>
      <c r="J18" s="37"/>
    </row>
    <row r="19" spans="1:10" ht="15.75" thickTop="1" x14ac:dyDescent="0.25">
      <c r="A19" s="33"/>
      <c r="B19" s="34" t="s">
        <v>1229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634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D7A6508C-F10D-46D5-8124-41F800B4E3DD}"/>
  </hyperlinks>
  <pageMargins left="0.2" right="0.1" top="0.25" bottom="0.25" header="0.3" footer="0.3"/>
  <pageSetup paperSize="9" orientation="portrait" r:id="rId2"/>
  <drawing r:id="rId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4948B-603F-4191-AB64-F30EB7D9DD88}">
  <dimension ref="A1:J26"/>
  <sheetViews>
    <sheetView topLeftCell="A9" workbookViewId="0">
      <selection activeCell="A17" sqref="A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1217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1224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1225</v>
      </c>
      <c r="J9" s="188"/>
    </row>
    <row r="10" spans="1:10" x14ac:dyDescent="0.25">
      <c r="B10" t="s">
        <v>9</v>
      </c>
      <c r="C10" s="10" t="s">
        <v>1067</v>
      </c>
      <c r="D10" s="10"/>
      <c r="E10" s="10"/>
      <c r="F10" s="10"/>
    </row>
    <row r="11" spans="1:10" x14ac:dyDescent="0.25">
      <c r="B11" t="s">
        <v>11</v>
      </c>
      <c r="C11" s="10" t="s">
        <v>1068</v>
      </c>
      <c r="D11" s="11"/>
      <c r="E11" s="11"/>
      <c r="F11" s="11"/>
    </row>
    <row r="12" spans="1:10" x14ac:dyDescent="0.25">
      <c r="A12" s="12"/>
      <c r="B12" s="13"/>
      <c r="C12" s="14" t="s">
        <v>1069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1070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1002</v>
      </c>
      <c r="C16" s="54" t="s">
        <v>23</v>
      </c>
      <c r="D16" s="72">
        <v>6</v>
      </c>
      <c r="E16" s="56">
        <v>3500</v>
      </c>
      <c r="F16" s="56">
        <f t="shared" ref="F16:F17" si="0">D16*E16</f>
        <v>21000</v>
      </c>
      <c r="G16" s="56">
        <f>F16*0.17</f>
        <v>3570.0000000000005</v>
      </c>
      <c r="H16" s="84">
        <f>E16*1.17</f>
        <v>4094.9999999999995</v>
      </c>
      <c r="I16" s="56">
        <f t="shared" ref="I16:I17" si="1">H16*D16</f>
        <v>24569.999999999996</v>
      </c>
      <c r="J16" s="58"/>
    </row>
    <row r="17" spans="1:10" s="21" customFormat="1" ht="30" x14ac:dyDescent="0.25">
      <c r="A17" s="53">
        <v>2</v>
      </c>
      <c r="B17" s="47" t="s">
        <v>1183</v>
      </c>
      <c r="C17" s="54" t="s">
        <v>23</v>
      </c>
      <c r="D17" s="72">
        <v>5</v>
      </c>
      <c r="E17" s="56">
        <v>5700</v>
      </c>
      <c r="F17" s="56">
        <f t="shared" si="0"/>
        <v>28500</v>
      </c>
      <c r="G17" s="56">
        <f>F17*0.17</f>
        <v>4845</v>
      </c>
      <c r="H17" s="84">
        <f>E17*1.17</f>
        <v>6669</v>
      </c>
      <c r="I17" s="56">
        <f t="shared" si="1"/>
        <v>33345</v>
      </c>
      <c r="J17" s="58"/>
    </row>
    <row r="18" spans="1:10" ht="15.75" thickBot="1" x14ac:dyDescent="0.3">
      <c r="A18" s="33"/>
      <c r="B18" s="34" t="s">
        <v>24</v>
      </c>
      <c r="C18" s="35"/>
      <c r="D18" s="62">
        <f>SUM(D16:D17)</f>
        <v>11</v>
      </c>
      <c r="E18" s="35"/>
      <c r="F18" s="62">
        <f>SUM(F16:F17)</f>
        <v>49500</v>
      </c>
      <c r="G18" s="62">
        <f>SUM(G16:G17)</f>
        <v>8415</v>
      </c>
      <c r="H18" s="35"/>
      <c r="I18" s="62">
        <f>SUM(I16:I17)</f>
        <v>57915</v>
      </c>
      <c r="J18" s="37"/>
    </row>
    <row r="19" spans="1:10" ht="15.75" thickTop="1" x14ac:dyDescent="0.25">
      <c r="A19" s="33"/>
      <c r="B19" s="34" t="s">
        <v>1226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634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97EC70F3-B64E-4DA9-93F4-68E85440B3D7}"/>
  </hyperlinks>
  <pageMargins left="0.2" right="0.1" top="0.25" bottom="0.25" header="0.3" footer="0.3"/>
  <pageSetup paperSize="9" orientation="portrait" r:id="rId2"/>
  <drawing r:id="rId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53F4C-735D-41ED-A42A-57DF3716C266}">
  <dimension ref="A1:J25"/>
  <sheetViews>
    <sheetView workbookViewId="0">
      <selection activeCell="C14" sqref="C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1217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1220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1221</v>
      </c>
      <c r="J9" s="188"/>
    </row>
    <row r="10" spans="1:10" x14ac:dyDescent="0.25">
      <c r="B10" t="s">
        <v>9</v>
      </c>
      <c r="C10" s="10" t="s">
        <v>1063</v>
      </c>
      <c r="D10" s="10"/>
      <c r="E10" s="10"/>
      <c r="F10" s="10"/>
    </row>
    <row r="11" spans="1:10" x14ac:dyDescent="0.25">
      <c r="B11" t="s">
        <v>11</v>
      </c>
      <c r="C11" s="11" t="s">
        <v>1222</v>
      </c>
      <c r="D11" s="11"/>
      <c r="E11" s="11"/>
      <c r="F11" s="11"/>
    </row>
    <row r="12" spans="1:10" x14ac:dyDescent="0.25">
      <c r="A12" s="12"/>
      <c r="B12" s="13"/>
      <c r="C12" s="11" t="s">
        <v>1223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1113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1002</v>
      </c>
      <c r="C16" s="54" t="s">
        <v>23</v>
      </c>
      <c r="D16" s="72">
        <v>5</v>
      </c>
      <c r="E16" s="56">
        <v>3500</v>
      </c>
      <c r="F16" s="56">
        <f t="shared" ref="F16" si="0">D16*E16</f>
        <v>17500</v>
      </c>
      <c r="G16" s="56">
        <f>F16*0.17</f>
        <v>2975</v>
      </c>
      <c r="H16" s="84">
        <f>E16*1.17</f>
        <v>4094.9999999999995</v>
      </c>
      <c r="I16" s="56">
        <f t="shared" ref="I16" si="1">H16*D16</f>
        <v>20474.999999999996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5</v>
      </c>
      <c r="E17" s="35"/>
      <c r="F17" s="62">
        <f>SUM(F16:F16)</f>
        <v>17500</v>
      </c>
      <c r="G17" s="62">
        <f>SUM(G16:G16)</f>
        <v>2975</v>
      </c>
      <c r="H17" s="35"/>
      <c r="I17" s="62">
        <f>SUM(I16:I16)</f>
        <v>20474.999999999996</v>
      </c>
      <c r="J17" s="37"/>
    </row>
    <row r="18" spans="1:10" ht="15.75" thickTop="1" x14ac:dyDescent="0.25">
      <c r="A18" s="33"/>
      <c r="B18" s="34" t="s">
        <v>1219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1C1A9FAF-98F3-4AF0-B389-D0E1C42461CE}"/>
  </hyperlinks>
  <pageMargins left="0.2" right="0.1" top="0.25" bottom="0.25" header="0.3" footer="0.3"/>
  <pageSetup paperSize="9" orientation="portrait" r:id="rId2"/>
  <drawing r:id="rId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07DEC-9848-4D78-928F-7C1884E610A3}">
  <dimension ref="A1:J25"/>
  <sheetViews>
    <sheetView workbookViewId="0">
      <selection activeCell="A3" sqref="A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1217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1216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1218</v>
      </c>
      <c r="J9" s="188"/>
    </row>
    <row r="10" spans="1:10" x14ac:dyDescent="0.25">
      <c r="B10" t="s">
        <v>9</v>
      </c>
      <c r="C10" s="10" t="s">
        <v>998</v>
      </c>
      <c r="D10" s="10"/>
      <c r="E10" s="10"/>
      <c r="F10" s="10"/>
    </row>
    <row r="11" spans="1:10" x14ac:dyDescent="0.25">
      <c r="B11" t="s">
        <v>11</v>
      </c>
      <c r="C11" s="10" t="s">
        <v>999</v>
      </c>
      <c r="D11" s="11"/>
      <c r="E11" s="11"/>
      <c r="F11" s="11"/>
    </row>
    <row r="12" spans="1:10" x14ac:dyDescent="0.25">
      <c r="A12" s="12"/>
      <c r="B12" s="13"/>
      <c r="C12" s="14" t="s">
        <v>1000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1001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1002</v>
      </c>
      <c r="C16" s="54" t="s">
        <v>23</v>
      </c>
      <c r="D16" s="72">
        <v>5</v>
      </c>
      <c r="E16" s="56">
        <v>3500</v>
      </c>
      <c r="F16" s="56">
        <f t="shared" ref="F16" si="0">D16*E16</f>
        <v>17500</v>
      </c>
      <c r="G16" s="56">
        <f>F16*0.17</f>
        <v>2975</v>
      </c>
      <c r="H16" s="84">
        <f>E16*1.17</f>
        <v>4094.9999999999995</v>
      </c>
      <c r="I16" s="56">
        <f t="shared" ref="I16" si="1">H16*D16</f>
        <v>20474.999999999996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5</v>
      </c>
      <c r="E17" s="35"/>
      <c r="F17" s="62">
        <f>SUM(F16:F16)</f>
        <v>17500</v>
      </c>
      <c r="G17" s="62">
        <f>SUM(G16:G16)</f>
        <v>2975</v>
      </c>
      <c r="H17" s="35"/>
      <c r="I17" s="62">
        <f>SUM(I16:I16)</f>
        <v>20474.999999999996</v>
      </c>
      <c r="J17" s="37"/>
    </row>
    <row r="18" spans="1:10" ht="15.75" thickTop="1" x14ac:dyDescent="0.25">
      <c r="A18" s="33"/>
      <c r="B18" s="34" t="s">
        <v>1219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3039827A-8B30-4F50-8A04-4C3FE65E96BA}"/>
  </hyperlinks>
  <pageMargins left="0.2" right="0.1" top="0.25" bottom="0.25" header="0.3" footer="0.3"/>
  <pageSetup paperSize="9" orientation="portrait" r:id="rId2"/>
  <drawing r:id="rId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E3E2C-097B-41C5-9E4B-476A79E37015}">
  <dimension ref="A1:R26"/>
  <sheetViews>
    <sheetView topLeftCell="A2" workbookViewId="0">
      <selection activeCell="C18" sqref="C1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1214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1213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601</v>
      </c>
      <c r="D10" s="10"/>
      <c r="E10" s="10"/>
      <c r="F10" s="10"/>
    </row>
    <row r="11" spans="1:14" x14ac:dyDescent="0.25">
      <c r="B11" t="s">
        <v>11</v>
      </c>
      <c r="C11" s="10" t="s">
        <v>875</v>
      </c>
      <c r="D11" s="11"/>
      <c r="E11" s="11"/>
      <c r="F11" s="11"/>
    </row>
    <row r="12" spans="1:14" x14ac:dyDescent="0.25">
      <c r="A12" s="12"/>
      <c r="B12" s="13"/>
      <c r="C12" s="14" t="s">
        <v>1095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4" s="21" customFormat="1" ht="15.75" x14ac:dyDescent="0.25">
      <c r="A16" s="53">
        <v>1</v>
      </c>
      <c r="B16" s="78" t="s">
        <v>677</v>
      </c>
      <c r="C16" s="53" t="s">
        <v>23</v>
      </c>
      <c r="D16" s="53">
        <v>20</v>
      </c>
      <c r="E16" s="56">
        <v>170</v>
      </c>
      <c r="F16" s="56">
        <f>D16*E16</f>
        <v>3400</v>
      </c>
      <c r="G16" s="56">
        <f>F16*0.17</f>
        <v>578</v>
      </c>
      <c r="H16" s="74">
        <f>E16*1.17</f>
        <v>198.89999999999998</v>
      </c>
      <c r="I16" s="56">
        <f>H16*D16</f>
        <v>3977.9999999999995</v>
      </c>
      <c r="J16" s="83"/>
      <c r="N16" s="66"/>
    </row>
    <row r="17" spans="1:18" s="21" customFormat="1" ht="15.75" x14ac:dyDescent="0.25">
      <c r="A17" s="53">
        <v>2</v>
      </c>
      <c r="B17" s="78" t="s">
        <v>613</v>
      </c>
      <c r="C17" s="53" t="s">
        <v>23</v>
      </c>
      <c r="D17" s="53">
        <v>1</v>
      </c>
      <c r="E17" s="56">
        <v>220</v>
      </c>
      <c r="F17" s="56">
        <f>D17*E17</f>
        <v>220</v>
      </c>
      <c r="G17" s="56">
        <f>F17*0.17</f>
        <v>37.400000000000006</v>
      </c>
      <c r="H17" s="74">
        <f>E17*1.17</f>
        <v>257.39999999999998</v>
      </c>
      <c r="I17" s="56">
        <f>H17*D17</f>
        <v>257.39999999999998</v>
      </c>
      <c r="J17" s="83"/>
      <c r="M17" s="21">
        <f t="shared" ref="M17" si="0">440*1.02</f>
        <v>448.8</v>
      </c>
      <c r="N17" s="66" t="e">
        <f>M17-#REF!</f>
        <v>#REF!</v>
      </c>
      <c r="O17" s="21" t="e">
        <f t="shared" ref="O17" si="1">N17*D17</f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21</v>
      </c>
      <c r="E18" s="35"/>
      <c r="F18" s="62">
        <f>SUM(F16:F17)</f>
        <v>3620</v>
      </c>
      <c r="G18" s="62">
        <f>SUM(G16:G17)</f>
        <v>615.4</v>
      </c>
      <c r="H18" s="35"/>
      <c r="I18" s="62">
        <f>SUM(I16:I17)</f>
        <v>4235.3999999999996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1215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27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76B82F51-CB08-47F3-AE3F-E5F42B23D6F7}"/>
  </hyperlinks>
  <pageMargins left="0.2" right="0.1" top="0.25" bottom="0.25" header="0.3" footer="0.3"/>
  <pageSetup paperSize="9" orientation="portrait" r:id="rId2"/>
  <drawing r:id="rId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0BA00-8909-4487-A9BB-4001C2FD9B76}">
  <dimension ref="A1:R28"/>
  <sheetViews>
    <sheetView workbookViewId="0">
      <selection activeCell="C18" sqref="C1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1195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1202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1203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209</v>
      </c>
      <c r="C16" s="53" t="s">
        <v>23</v>
      </c>
      <c r="D16" s="79">
        <v>200</v>
      </c>
      <c r="E16" s="56">
        <v>25</v>
      </c>
      <c r="F16" s="56">
        <f t="shared" ref="F16:F17" si="0">D16*E16</f>
        <v>5000</v>
      </c>
      <c r="G16" s="56">
        <f>F16*0.17</f>
        <v>850.00000000000011</v>
      </c>
      <c r="H16" s="74">
        <f>E16*1.17</f>
        <v>29.25</v>
      </c>
      <c r="I16" s="56">
        <f t="shared" ref="I16:I17" si="1">H16*D16</f>
        <v>5850</v>
      </c>
      <c r="J16" s="83"/>
      <c r="N16" s="66"/>
    </row>
    <row r="17" spans="1:18" s="21" customFormat="1" ht="15.75" x14ac:dyDescent="0.25">
      <c r="A17" s="53">
        <v>2</v>
      </c>
      <c r="B17" s="78" t="s">
        <v>1204</v>
      </c>
      <c r="C17" s="53" t="s">
        <v>23</v>
      </c>
      <c r="D17" s="79">
        <v>18</v>
      </c>
      <c r="E17" s="56">
        <v>68</v>
      </c>
      <c r="F17" s="56">
        <f t="shared" si="0"/>
        <v>1224</v>
      </c>
      <c r="G17" s="56">
        <f>F17*0.17</f>
        <v>208.08</v>
      </c>
      <c r="H17" s="74">
        <f>E17*1.17</f>
        <v>79.56</v>
      </c>
      <c r="I17" s="56">
        <f t="shared" si="1"/>
        <v>1432.08</v>
      </c>
      <c r="J17" s="83"/>
      <c r="N17" s="66"/>
    </row>
    <row r="18" spans="1:18" s="21" customFormat="1" ht="15.75" x14ac:dyDescent="0.25">
      <c r="A18" s="53">
        <v>3</v>
      </c>
      <c r="B18" s="78" t="s">
        <v>1205</v>
      </c>
      <c r="C18" s="53" t="s">
        <v>76</v>
      </c>
      <c r="D18" s="79">
        <v>50</v>
      </c>
      <c r="E18" s="56">
        <v>30</v>
      </c>
      <c r="F18" s="56">
        <f t="shared" ref="F18" si="2">D18*E18</f>
        <v>1500</v>
      </c>
      <c r="G18" s="56">
        <f>F18*0.17</f>
        <v>255.00000000000003</v>
      </c>
      <c r="H18" s="74">
        <f>E18*1.17</f>
        <v>35.099999999999994</v>
      </c>
      <c r="I18" s="56">
        <f t="shared" ref="I18" si="3">H18*D18</f>
        <v>1754.9999999999998</v>
      </c>
      <c r="J18" s="83"/>
      <c r="N18" s="66"/>
    </row>
    <row r="19" spans="1:18" s="21" customFormat="1" x14ac:dyDescent="0.25">
      <c r="A19" s="53"/>
      <c r="B19" s="47"/>
      <c r="C19" s="53"/>
      <c r="D19" s="79"/>
      <c r="E19" s="56"/>
      <c r="F19" s="56"/>
      <c r="G19" s="56"/>
      <c r="H19" s="57"/>
      <c r="I19" s="56"/>
      <c r="J19" s="58"/>
      <c r="N19" s="66"/>
    </row>
    <row r="20" spans="1:18" ht="15.75" thickBot="1" x14ac:dyDescent="0.3">
      <c r="A20" s="33"/>
      <c r="B20" s="34" t="s">
        <v>24</v>
      </c>
      <c r="C20" s="35"/>
      <c r="D20" s="62">
        <f>SUM(D16:D19)</f>
        <v>268</v>
      </c>
      <c r="E20" s="35"/>
      <c r="F20" s="62">
        <f>SUM(F16:F19)</f>
        <v>7724</v>
      </c>
      <c r="G20" s="62">
        <f>SUM(G16:G19)</f>
        <v>1313.0800000000002</v>
      </c>
      <c r="H20" s="35"/>
      <c r="I20" s="62">
        <f>SUM(I16:I19)</f>
        <v>9037.08</v>
      </c>
      <c r="J20" s="37"/>
    </row>
    <row r="21" spans="1:18" ht="15.75" thickTop="1" x14ac:dyDescent="0.25">
      <c r="A21" s="33"/>
      <c r="B21" s="34" t="s">
        <v>1206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/>
      <c r="O22" s="65"/>
      <c r="P22" s="64"/>
      <c r="Q22" s="64"/>
      <c r="R22" s="64"/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/>
    </row>
    <row r="24" spans="1:18" x14ac:dyDescent="0.25">
      <c r="B24" t="s">
        <v>634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1817F20E-15DE-4858-AD78-66AAD01233E8}"/>
  </hyperlinks>
  <pageMargins left="0.2" right="0.1" top="0.25" bottom="0.25" header="0.3" footer="0.3"/>
  <pageSetup paperSize="9" orientation="portrait" r:id="rId2"/>
  <drawing r:id="rId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232D1-AF5A-409C-A30F-6872C767B7F3}">
  <dimension ref="A1:R35"/>
  <sheetViews>
    <sheetView workbookViewId="0">
      <selection activeCell="C14" sqref="C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1195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1200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1201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4" s="21" customFormat="1" ht="15.75" x14ac:dyDescent="0.25">
      <c r="A16" s="53">
        <v>1</v>
      </c>
      <c r="B16" s="78" t="s">
        <v>1043</v>
      </c>
      <c r="C16" s="53" t="s">
        <v>23</v>
      </c>
      <c r="D16" s="79">
        <v>18</v>
      </c>
      <c r="E16" s="56">
        <v>32</v>
      </c>
      <c r="F16" s="56">
        <f t="shared" ref="F16:F22" si="0">D16*E16</f>
        <v>576</v>
      </c>
      <c r="G16" s="56">
        <f t="shared" ref="G16:G25" si="1">F16*0.17</f>
        <v>97.92</v>
      </c>
      <c r="H16" s="74">
        <f t="shared" ref="H16:H25" si="2">E16*1.17</f>
        <v>37.44</v>
      </c>
      <c r="I16" s="56">
        <f t="shared" ref="I16:I22" si="3">H16*D16</f>
        <v>673.92</v>
      </c>
      <c r="J16" s="83"/>
      <c r="N16" s="66"/>
    </row>
    <row r="17" spans="1:18" s="21" customFormat="1" ht="15.75" x14ac:dyDescent="0.25">
      <c r="A17" s="53">
        <v>2</v>
      </c>
      <c r="B17" s="78" t="s">
        <v>44</v>
      </c>
      <c r="C17" s="53" t="s">
        <v>23</v>
      </c>
      <c r="D17" s="79">
        <v>18</v>
      </c>
      <c r="E17" s="56">
        <v>180</v>
      </c>
      <c r="F17" s="56">
        <f t="shared" si="0"/>
        <v>3240</v>
      </c>
      <c r="G17" s="56">
        <f t="shared" si="1"/>
        <v>550.80000000000007</v>
      </c>
      <c r="H17" s="74">
        <f t="shared" si="2"/>
        <v>210.6</v>
      </c>
      <c r="I17" s="56">
        <f t="shared" si="3"/>
        <v>3790.7999999999997</v>
      </c>
      <c r="J17" s="83"/>
      <c r="N17" s="66"/>
    </row>
    <row r="18" spans="1:18" s="21" customFormat="1" ht="15.75" x14ac:dyDescent="0.25">
      <c r="A18" s="53">
        <v>3</v>
      </c>
      <c r="B18" s="78" t="s">
        <v>1084</v>
      </c>
      <c r="C18" s="53" t="s">
        <v>23</v>
      </c>
      <c r="D18" s="79">
        <v>18</v>
      </c>
      <c r="E18" s="56">
        <v>180</v>
      </c>
      <c r="F18" s="56">
        <f t="shared" si="0"/>
        <v>3240</v>
      </c>
      <c r="G18" s="56">
        <f t="shared" si="1"/>
        <v>550.80000000000007</v>
      </c>
      <c r="H18" s="74">
        <f t="shared" si="2"/>
        <v>210.6</v>
      </c>
      <c r="I18" s="56">
        <f t="shared" si="3"/>
        <v>3790.7999999999997</v>
      </c>
      <c r="J18" s="83"/>
      <c r="N18" s="66"/>
    </row>
    <row r="19" spans="1:18" s="21" customFormat="1" ht="15.75" x14ac:dyDescent="0.25">
      <c r="A19" s="53">
        <v>4</v>
      </c>
      <c r="B19" s="78" t="s">
        <v>1207</v>
      </c>
      <c r="C19" s="53" t="s">
        <v>23</v>
      </c>
      <c r="D19" s="79">
        <v>24</v>
      </c>
      <c r="E19" s="56">
        <v>35</v>
      </c>
      <c r="F19" s="56">
        <f t="shared" si="0"/>
        <v>840</v>
      </c>
      <c r="G19" s="56">
        <f t="shared" si="1"/>
        <v>142.80000000000001</v>
      </c>
      <c r="H19" s="74">
        <f t="shared" si="2"/>
        <v>40.949999999999996</v>
      </c>
      <c r="I19" s="56">
        <f t="shared" si="3"/>
        <v>982.8</v>
      </c>
      <c r="J19" s="83"/>
      <c r="N19" s="66"/>
    </row>
    <row r="20" spans="1:18" s="21" customFormat="1" ht="15.75" x14ac:dyDescent="0.25">
      <c r="A20" s="53">
        <v>5</v>
      </c>
      <c r="B20" s="78" t="s">
        <v>1208</v>
      </c>
      <c r="C20" s="53" t="s">
        <v>23</v>
      </c>
      <c r="D20" s="79">
        <v>36</v>
      </c>
      <c r="E20" s="56">
        <v>72</v>
      </c>
      <c r="F20" s="56">
        <f t="shared" si="0"/>
        <v>2592</v>
      </c>
      <c r="G20" s="56">
        <f t="shared" si="1"/>
        <v>440.64000000000004</v>
      </c>
      <c r="H20" s="74">
        <f t="shared" si="2"/>
        <v>84.24</v>
      </c>
      <c r="I20" s="56">
        <f t="shared" si="3"/>
        <v>3032.64</v>
      </c>
      <c r="J20" s="83"/>
      <c r="N20" s="66"/>
    </row>
    <row r="21" spans="1:18" s="21" customFormat="1" ht="15.75" x14ac:dyDescent="0.25">
      <c r="A21" s="53">
        <v>6</v>
      </c>
      <c r="B21" s="78" t="s">
        <v>1209</v>
      </c>
      <c r="C21" s="53" t="s">
        <v>23</v>
      </c>
      <c r="D21" s="79">
        <v>12</v>
      </c>
      <c r="E21" s="56">
        <v>25</v>
      </c>
      <c r="F21" s="56">
        <f t="shared" si="0"/>
        <v>300</v>
      </c>
      <c r="G21" s="56">
        <f t="shared" si="1"/>
        <v>51.000000000000007</v>
      </c>
      <c r="H21" s="74">
        <f t="shared" si="2"/>
        <v>29.25</v>
      </c>
      <c r="I21" s="56">
        <f t="shared" si="3"/>
        <v>351</v>
      </c>
      <c r="J21" s="83"/>
      <c r="N21" s="66"/>
    </row>
    <row r="22" spans="1:18" s="21" customFormat="1" ht="15.75" x14ac:dyDescent="0.25">
      <c r="A22" s="53">
        <v>7</v>
      </c>
      <c r="B22" s="78" t="s">
        <v>417</v>
      </c>
      <c r="C22" s="53" t="s">
        <v>23</v>
      </c>
      <c r="D22" s="79">
        <v>36</v>
      </c>
      <c r="E22" s="56">
        <v>85</v>
      </c>
      <c r="F22" s="56">
        <f t="shared" si="0"/>
        <v>3060</v>
      </c>
      <c r="G22" s="56">
        <f t="shared" si="1"/>
        <v>520.20000000000005</v>
      </c>
      <c r="H22" s="74">
        <f t="shared" si="2"/>
        <v>99.449999999999989</v>
      </c>
      <c r="I22" s="56">
        <f t="shared" si="3"/>
        <v>3580.2</v>
      </c>
      <c r="J22" s="83"/>
      <c r="N22" s="66"/>
    </row>
    <row r="23" spans="1:18" s="21" customFormat="1" ht="15.75" x14ac:dyDescent="0.25">
      <c r="A23" s="53">
        <v>8</v>
      </c>
      <c r="B23" s="78" t="s">
        <v>1210</v>
      </c>
      <c r="C23" s="53" t="s">
        <v>23</v>
      </c>
      <c r="D23" s="79">
        <v>48</v>
      </c>
      <c r="E23" s="56">
        <v>65</v>
      </c>
      <c r="F23" s="56">
        <f t="shared" ref="F23:F25" si="4">D23*E23</f>
        <v>3120</v>
      </c>
      <c r="G23" s="56">
        <f t="shared" si="1"/>
        <v>530.40000000000009</v>
      </c>
      <c r="H23" s="74">
        <f t="shared" si="2"/>
        <v>76.05</v>
      </c>
      <c r="I23" s="56">
        <f t="shared" ref="I23:I25" si="5">H23*D23</f>
        <v>3650.3999999999996</v>
      </c>
      <c r="J23" s="83"/>
      <c r="N23" s="66"/>
    </row>
    <row r="24" spans="1:18" s="21" customFormat="1" ht="15.75" x14ac:dyDescent="0.25">
      <c r="A24" s="53">
        <v>9</v>
      </c>
      <c r="B24" s="78" t="s">
        <v>1211</v>
      </c>
      <c r="C24" s="53" t="s">
        <v>825</v>
      </c>
      <c r="D24" s="79">
        <v>8</v>
      </c>
      <c r="E24" s="56">
        <v>450</v>
      </c>
      <c r="F24" s="56">
        <f t="shared" si="4"/>
        <v>3600</v>
      </c>
      <c r="G24" s="56">
        <f t="shared" si="1"/>
        <v>612</v>
      </c>
      <c r="H24" s="74">
        <f t="shared" si="2"/>
        <v>526.5</v>
      </c>
      <c r="I24" s="56">
        <f t="shared" si="5"/>
        <v>4212</v>
      </c>
      <c r="J24" s="83"/>
      <c r="N24" s="66"/>
    </row>
    <row r="25" spans="1:18" s="21" customFormat="1" ht="15.75" x14ac:dyDescent="0.25">
      <c r="A25" s="53">
        <v>10</v>
      </c>
      <c r="B25" s="78" t="s">
        <v>72</v>
      </c>
      <c r="C25" s="53" t="s">
        <v>23</v>
      </c>
      <c r="D25" s="79">
        <v>48</v>
      </c>
      <c r="E25" s="56">
        <v>30</v>
      </c>
      <c r="F25" s="56">
        <f t="shared" si="4"/>
        <v>1440</v>
      </c>
      <c r="G25" s="56">
        <f t="shared" si="1"/>
        <v>244.8</v>
      </c>
      <c r="H25" s="74">
        <f t="shared" si="2"/>
        <v>35.099999999999994</v>
      </c>
      <c r="I25" s="56">
        <f t="shared" si="5"/>
        <v>1684.7999999999997</v>
      </c>
      <c r="J25" s="83"/>
      <c r="N25" s="66"/>
    </row>
    <row r="26" spans="1:18" s="21" customFormat="1" x14ac:dyDescent="0.25">
      <c r="A26" s="53"/>
      <c r="B26" s="47"/>
      <c r="C26" s="53"/>
      <c r="D26" s="79"/>
      <c r="E26" s="56"/>
      <c r="F26" s="56"/>
      <c r="G26" s="56"/>
      <c r="H26" s="57"/>
      <c r="I26" s="56"/>
      <c r="J26" s="58"/>
      <c r="M26" s="21">
        <f t="shared" ref="M26" si="6">440*1.02</f>
        <v>448.8</v>
      </c>
      <c r="N26" s="66" t="e">
        <f>M26-#REF!</f>
        <v>#REF!</v>
      </c>
      <c r="O26" s="21" t="e">
        <f t="shared" ref="O26" si="7">N26*D26</f>
        <v>#REF!</v>
      </c>
    </row>
    <row r="27" spans="1:18" ht="15.75" thickBot="1" x14ac:dyDescent="0.3">
      <c r="A27" s="33"/>
      <c r="B27" s="34" t="s">
        <v>24</v>
      </c>
      <c r="C27" s="35"/>
      <c r="D27" s="62">
        <f>SUM(D16:D25)</f>
        <v>266</v>
      </c>
      <c r="E27" s="35"/>
      <c r="F27" s="62">
        <f>SUM(F16:F25)</f>
        <v>22008</v>
      </c>
      <c r="G27" s="62">
        <f>SUM(G16:G25)</f>
        <v>3741.36</v>
      </c>
      <c r="H27" s="35"/>
      <c r="I27" s="62">
        <f>SUM(I16:I25)</f>
        <v>25749.359999999997</v>
      </c>
      <c r="J27" s="37"/>
      <c r="M27" t="e">
        <f>#REF!/117*100</f>
        <v>#REF!</v>
      </c>
      <c r="O27" t="e">
        <f>M27*1.1</f>
        <v>#REF!</v>
      </c>
    </row>
    <row r="28" spans="1:18" ht="15.75" thickTop="1" x14ac:dyDescent="0.25">
      <c r="A28" s="33"/>
      <c r="B28" s="34" t="s">
        <v>1212</v>
      </c>
      <c r="C28" s="35"/>
      <c r="D28" s="35"/>
      <c r="E28" s="35"/>
      <c r="F28" s="35"/>
      <c r="G28" s="35"/>
      <c r="H28" s="35"/>
      <c r="I28" s="35"/>
      <c r="J28" s="37"/>
    </row>
    <row r="29" spans="1:18" x14ac:dyDescent="0.25">
      <c r="A29" s="33"/>
      <c r="B29" s="38" t="s">
        <v>25</v>
      </c>
      <c r="C29" s="35"/>
      <c r="D29" s="35"/>
      <c r="E29" s="35"/>
      <c r="F29" s="35"/>
      <c r="G29" s="35"/>
      <c r="H29" s="35"/>
      <c r="I29" s="35"/>
      <c r="J29" s="37"/>
      <c r="M29" s="64" t="e">
        <f>M27*#REF!</f>
        <v>#REF!</v>
      </c>
      <c r="O29" s="65" t="e">
        <f>#REF!</f>
        <v>#REF!</v>
      </c>
      <c r="P29" s="64" t="e">
        <f>O29-M29</f>
        <v>#REF!</v>
      </c>
      <c r="Q29" s="64" t="e">
        <f>#REF!*0.045</f>
        <v>#REF!</v>
      </c>
      <c r="R29" s="64" t="e">
        <f>P29-Q29</f>
        <v>#REF!</v>
      </c>
    </row>
    <row r="30" spans="1:18" ht="30" customHeight="1" x14ac:dyDescent="0.25">
      <c r="B30" s="183" t="s">
        <v>26</v>
      </c>
      <c r="C30" s="183"/>
      <c r="D30" s="183"/>
      <c r="E30" s="183"/>
      <c r="F30" s="183"/>
      <c r="G30" s="183"/>
      <c r="H30" s="183"/>
      <c r="I30" s="183"/>
      <c r="J30" s="183"/>
      <c r="P30" s="64"/>
      <c r="R30" s="65" t="e">
        <f>#REF!-#REF!</f>
        <v>#REF!</v>
      </c>
    </row>
    <row r="31" spans="1:18" x14ac:dyDescent="0.25">
      <c r="B31" t="s">
        <v>634</v>
      </c>
    </row>
    <row r="34" spans="2:8" x14ac:dyDescent="0.25">
      <c r="B34" t="s">
        <v>28</v>
      </c>
      <c r="H34" t="s">
        <v>28</v>
      </c>
    </row>
    <row r="35" spans="2:8" x14ac:dyDescent="0.25">
      <c r="B35" t="s">
        <v>29</v>
      </c>
      <c r="H35" t="s">
        <v>30</v>
      </c>
    </row>
  </sheetData>
  <autoFilter ref="A15:J31" xr:uid="{00000000-0009-0000-0000-000000000000}"/>
  <mergeCells count="5">
    <mergeCell ref="A6:J6"/>
    <mergeCell ref="I7:J7"/>
    <mergeCell ref="I8:J8"/>
    <mergeCell ref="I9:J9"/>
    <mergeCell ref="B30:J30"/>
  </mergeCells>
  <hyperlinks>
    <hyperlink ref="H5" r:id="rId1" xr:uid="{69603845-60EB-43BB-AF8B-DD7B923C707A}"/>
  </hyperlinks>
  <pageMargins left="0.2" right="0.1" top="0.25" bottom="0.25" header="0.3" footer="0.3"/>
  <pageSetup paperSize="9" orientation="portrait" r:id="rId2"/>
  <drawing r:id="rId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FCA00-62D0-4492-BC2C-CBEF2301E867}">
  <dimension ref="A1:J29"/>
  <sheetViews>
    <sheetView workbookViewId="0">
      <selection activeCell="B7" sqref="B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1195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1194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>
        <v>8800685176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377</v>
      </c>
      <c r="C16" s="54" t="s">
        <v>23</v>
      </c>
      <c r="D16" s="72">
        <v>500</v>
      </c>
      <c r="E16" s="56">
        <v>96</v>
      </c>
      <c r="F16" s="56">
        <f t="shared" ref="F16" si="0">D16*E16</f>
        <v>48000</v>
      </c>
      <c r="G16" s="56">
        <f>F16*0.17</f>
        <v>8160.0000000000009</v>
      </c>
      <c r="H16" s="84">
        <f>E16*1.17</f>
        <v>112.32</v>
      </c>
      <c r="I16" s="56">
        <f t="shared" ref="I16" si="1">H16*D16</f>
        <v>56160</v>
      </c>
      <c r="J16" s="58"/>
    </row>
    <row r="17" spans="1:10" s="21" customFormat="1" x14ac:dyDescent="0.25">
      <c r="A17" s="53">
        <v>2</v>
      </c>
      <c r="B17" s="47" t="s">
        <v>1196</v>
      </c>
      <c r="C17" s="54" t="s">
        <v>23</v>
      </c>
      <c r="D17" s="72">
        <v>150</v>
      </c>
      <c r="E17" s="56">
        <v>440</v>
      </c>
      <c r="F17" s="56">
        <f t="shared" ref="F17:F19" si="2">D17*E17</f>
        <v>66000</v>
      </c>
      <c r="G17" s="56">
        <f>F17*0.17</f>
        <v>11220</v>
      </c>
      <c r="H17" s="84">
        <f>E17*1.17</f>
        <v>514.79999999999995</v>
      </c>
      <c r="I17" s="56">
        <f t="shared" ref="I17:I19" si="3">H17*D17</f>
        <v>77220</v>
      </c>
      <c r="J17" s="58"/>
    </row>
    <row r="18" spans="1:10" s="21" customFormat="1" x14ac:dyDescent="0.25">
      <c r="A18" s="53">
        <v>3</v>
      </c>
      <c r="B18" s="47" t="s">
        <v>1197</v>
      </c>
      <c r="C18" s="54" t="s">
        <v>23</v>
      </c>
      <c r="D18" s="72">
        <v>100</v>
      </c>
      <c r="E18" s="56">
        <v>10</v>
      </c>
      <c r="F18" s="56">
        <f t="shared" ref="F18" si="4">D18*E18</f>
        <v>1000</v>
      </c>
      <c r="G18" s="56">
        <f>F18*0.17</f>
        <v>170</v>
      </c>
      <c r="H18" s="84">
        <f>E18*1.17</f>
        <v>11.7</v>
      </c>
      <c r="I18" s="56">
        <f t="shared" ref="I18" si="5">H18*D18</f>
        <v>1170</v>
      </c>
      <c r="J18" s="58"/>
    </row>
    <row r="19" spans="1:10" s="21" customFormat="1" x14ac:dyDescent="0.25">
      <c r="A19" s="53">
        <v>4</v>
      </c>
      <c r="B19" s="47" t="s">
        <v>1198</v>
      </c>
      <c r="C19" s="54" t="s">
        <v>23</v>
      </c>
      <c r="D19" s="72">
        <v>100</v>
      </c>
      <c r="E19" s="56">
        <v>42</v>
      </c>
      <c r="F19" s="56">
        <f t="shared" si="2"/>
        <v>4200</v>
      </c>
      <c r="G19" s="56">
        <f>F19*0.17</f>
        <v>714</v>
      </c>
      <c r="H19" s="84">
        <f>E19*1.17</f>
        <v>49.14</v>
      </c>
      <c r="I19" s="56">
        <f t="shared" si="3"/>
        <v>4914</v>
      </c>
      <c r="J19" s="58"/>
    </row>
    <row r="20" spans="1:10" s="21" customFormat="1" x14ac:dyDescent="0.25">
      <c r="A20" s="53"/>
      <c r="B20" s="47"/>
      <c r="C20" s="54"/>
      <c r="D20" s="72"/>
      <c r="E20" s="56"/>
      <c r="F20" s="56"/>
      <c r="G20" s="56"/>
      <c r="H20" s="84"/>
      <c r="I20" s="56"/>
      <c r="J20" s="58"/>
    </row>
    <row r="21" spans="1:10" ht="15.75" thickBot="1" x14ac:dyDescent="0.3">
      <c r="A21" s="33"/>
      <c r="B21" s="34" t="s">
        <v>24</v>
      </c>
      <c r="C21" s="35"/>
      <c r="D21" s="73">
        <f>SUM(D16:D19)</f>
        <v>850</v>
      </c>
      <c r="E21" s="35"/>
      <c r="F21" s="73">
        <f t="shared" ref="F21:G21" si="6">SUM(F16:F19)</f>
        <v>119200</v>
      </c>
      <c r="G21" s="73">
        <f t="shared" si="6"/>
        <v>20264</v>
      </c>
      <c r="H21" s="35"/>
      <c r="I21" s="73">
        <f>SUM(I16:I19)</f>
        <v>139464</v>
      </c>
      <c r="J21" s="37"/>
    </row>
    <row r="22" spans="1:10" ht="15.75" thickTop="1" x14ac:dyDescent="0.25">
      <c r="A22" s="33"/>
      <c r="B22" s="34" t="s">
        <v>1199</v>
      </c>
      <c r="C22" s="35"/>
      <c r="D22" s="35"/>
      <c r="E22" s="35"/>
      <c r="F22" s="35"/>
      <c r="G22" s="35"/>
      <c r="H22" s="35"/>
      <c r="I22" s="35"/>
      <c r="J22" s="37"/>
    </row>
    <row r="23" spans="1:10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</row>
    <row r="24" spans="1:10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</row>
    <row r="25" spans="1:10" x14ac:dyDescent="0.25">
      <c r="B25" t="s">
        <v>634</v>
      </c>
    </row>
    <row r="28" spans="1:10" x14ac:dyDescent="0.25">
      <c r="B28" t="s">
        <v>28</v>
      </c>
      <c r="H28" t="s">
        <v>28</v>
      </c>
    </row>
    <row r="29" spans="1:10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B05201E5-1993-423F-BF5D-321BC5D7B63A}"/>
  </hyperlinks>
  <pageMargins left="0.2" right="0.1" top="0.25" bottom="0.2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F7E06-F179-4EB2-812F-BA90C9BC87E9}">
  <dimension ref="A1:R26"/>
  <sheetViews>
    <sheetView workbookViewId="0">
      <selection activeCell="A2" sqref="A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2312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2313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2355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2354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2361</v>
      </c>
      <c r="J9" s="188"/>
    </row>
    <row r="10" spans="1:14" x14ac:dyDescent="0.25">
      <c r="B10" t="s">
        <v>9</v>
      </c>
      <c r="C10" s="139" t="s">
        <v>2356</v>
      </c>
      <c r="D10" s="10"/>
      <c r="E10" s="10"/>
      <c r="F10" s="10"/>
    </row>
    <row r="11" spans="1:14" x14ac:dyDescent="0.25">
      <c r="B11" t="s">
        <v>11</v>
      </c>
      <c r="C11" s="132" t="s">
        <v>2357</v>
      </c>
      <c r="D11" s="11"/>
      <c r="E11" s="11"/>
      <c r="F11" s="11"/>
    </row>
    <row r="12" spans="1:14" x14ac:dyDescent="0.25">
      <c r="A12" s="12"/>
      <c r="B12" s="13"/>
      <c r="C12" s="140" t="s">
        <v>2358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189" t="s">
        <v>14</v>
      </c>
      <c r="C15" s="189"/>
      <c r="D15" s="76" t="s">
        <v>15</v>
      </c>
      <c r="E15" s="76" t="s">
        <v>16</v>
      </c>
      <c r="F15" s="76" t="s">
        <v>2353</v>
      </c>
      <c r="G15" s="76" t="s">
        <v>1083</v>
      </c>
      <c r="H15" s="76" t="s">
        <v>21</v>
      </c>
      <c r="I15" s="190" t="s">
        <v>22</v>
      </c>
      <c r="J15" s="191"/>
    </row>
    <row r="16" spans="1:14" s="21" customFormat="1" ht="30" customHeight="1" x14ac:dyDescent="0.25">
      <c r="A16" s="53">
        <v>1</v>
      </c>
      <c r="B16" s="180" t="s">
        <v>2359</v>
      </c>
      <c r="C16" s="180"/>
      <c r="D16" s="53" t="s">
        <v>23</v>
      </c>
      <c r="E16" s="79">
        <v>1</v>
      </c>
      <c r="F16" s="56">
        <v>66716</v>
      </c>
      <c r="G16" s="149">
        <f t="shared" ref="G16" si="0">F16*0.17</f>
        <v>11341.720000000001</v>
      </c>
      <c r="H16" s="56">
        <f>(F16+G16)*E16</f>
        <v>78057.72</v>
      </c>
      <c r="I16" s="178"/>
      <c r="J16" s="179"/>
      <c r="N16" s="66"/>
    </row>
    <row r="17" spans="1:18" s="21" customFormat="1" ht="15.75" customHeight="1" x14ac:dyDescent="0.25">
      <c r="A17" s="53"/>
      <c r="B17" s="181"/>
      <c r="C17" s="182"/>
      <c r="D17" s="79"/>
      <c r="E17" s="56"/>
      <c r="F17" s="56"/>
      <c r="G17" s="149"/>
      <c r="H17" s="85"/>
      <c r="I17" s="178"/>
      <c r="J17" s="179"/>
      <c r="N17" s="66"/>
    </row>
    <row r="18" spans="1:18" ht="15.75" thickBot="1" x14ac:dyDescent="0.3">
      <c r="A18" s="33"/>
      <c r="B18" s="34" t="s">
        <v>24</v>
      </c>
      <c r="C18" s="35"/>
      <c r="E18" s="62">
        <f>SUM(E16:E16)</f>
        <v>1</v>
      </c>
      <c r="F18" s="62">
        <f>SUM(F16:F16)</f>
        <v>66716</v>
      </c>
      <c r="G18" s="62">
        <f>SUM(G16:G16)</f>
        <v>11341.720000000001</v>
      </c>
      <c r="H18" s="62">
        <f>SUM(H16:H16)</f>
        <v>78057.72</v>
      </c>
      <c r="J18" s="37"/>
    </row>
    <row r="19" spans="1:18" ht="15.75" thickTop="1" x14ac:dyDescent="0.25">
      <c r="A19" s="33"/>
      <c r="B19" s="34" t="s">
        <v>2360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/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11">
    <mergeCell ref="B21:J21"/>
    <mergeCell ref="B17:C17"/>
    <mergeCell ref="I17:J17"/>
    <mergeCell ref="B16:C16"/>
    <mergeCell ref="I16:J16"/>
    <mergeCell ref="A6:J6"/>
    <mergeCell ref="I7:J7"/>
    <mergeCell ref="I8:J8"/>
    <mergeCell ref="I9:J9"/>
    <mergeCell ref="B15:C15"/>
    <mergeCell ref="I15:J15"/>
  </mergeCells>
  <hyperlinks>
    <hyperlink ref="H5" r:id="rId1" xr:uid="{396CB2F3-0859-487B-8D3E-7E84568F9CFA}"/>
  </hyperlinks>
  <pageMargins left="0.2" right="0.1" top="0.25" bottom="0.25" header="0.3" footer="0.3"/>
  <pageSetup paperSize="9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23FB1-A3A0-4088-8574-6E78943924B4}">
  <sheetPr filterMode="1"/>
  <dimension ref="A1:R53"/>
  <sheetViews>
    <sheetView topLeftCell="A6" workbookViewId="0">
      <selection activeCell="F19" sqref="F19:F4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2273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25.5" hidden="1" x14ac:dyDescent="0.25">
      <c r="A16" s="53">
        <v>1</v>
      </c>
      <c r="B16" s="78" t="s">
        <v>1514</v>
      </c>
      <c r="C16" s="53" t="s">
        <v>1505</v>
      </c>
      <c r="D16" s="79">
        <v>1</v>
      </c>
      <c r="E16" s="56">
        <v>35</v>
      </c>
      <c r="F16" s="56">
        <f t="shared" ref="F16:F40" si="0">D16*E16</f>
        <v>35</v>
      </c>
      <c r="G16" s="149">
        <f t="shared" ref="G16:G43" si="1">F16*0.17</f>
        <v>5.95</v>
      </c>
      <c r="H16" s="85">
        <f t="shared" ref="H16:H43" si="2">E16*1.17</f>
        <v>40.949999999999996</v>
      </c>
      <c r="I16" s="56">
        <f t="shared" ref="I16:I38" si="3">H16*D16</f>
        <v>40.949999999999996</v>
      </c>
      <c r="J16" s="83"/>
      <c r="N16" s="66"/>
    </row>
    <row r="17" spans="1:14" s="21" customFormat="1" ht="15.75" hidden="1" x14ac:dyDescent="0.25">
      <c r="A17" s="53">
        <v>2</v>
      </c>
      <c r="B17" s="78" t="s">
        <v>1486</v>
      </c>
      <c r="C17" s="53" t="s">
        <v>1506</v>
      </c>
      <c r="D17" s="79">
        <v>2</v>
      </c>
      <c r="E17" s="56">
        <v>90</v>
      </c>
      <c r="F17" s="56">
        <f t="shared" si="0"/>
        <v>180</v>
      </c>
      <c r="G17" s="149">
        <f t="shared" si="1"/>
        <v>30.6</v>
      </c>
      <c r="H17" s="85">
        <f t="shared" si="2"/>
        <v>105.3</v>
      </c>
      <c r="I17" s="56">
        <f t="shared" si="3"/>
        <v>210.6</v>
      </c>
      <c r="J17" s="83"/>
      <c r="N17" s="66"/>
    </row>
    <row r="18" spans="1:14" s="21" customFormat="1" ht="15.75" hidden="1" x14ac:dyDescent="0.25">
      <c r="A18" s="53">
        <v>3</v>
      </c>
      <c r="B18" s="78" t="s">
        <v>1487</v>
      </c>
      <c r="C18" s="53" t="s">
        <v>1506</v>
      </c>
      <c r="D18" s="79">
        <v>1</v>
      </c>
      <c r="E18" s="56">
        <v>155</v>
      </c>
      <c r="F18" s="56">
        <f t="shared" si="0"/>
        <v>155</v>
      </c>
      <c r="G18" s="149">
        <f t="shared" si="1"/>
        <v>26.35</v>
      </c>
      <c r="H18" s="85">
        <f t="shared" si="2"/>
        <v>181.35</v>
      </c>
      <c r="I18" s="56">
        <f t="shared" si="3"/>
        <v>181.35</v>
      </c>
      <c r="J18" s="83"/>
      <c r="N18" s="66"/>
    </row>
    <row r="19" spans="1:14" s="21" customFormat="1" ht="25.5" x14ac:dyDescent="0.25">
      <c r="A19" s="53">
        <v>4</v>
      </c>
      <c r="B19" s="78" t="s">
        <v>1488</v>
      </c>
      <c r="C19" s="53" t="s">
        <v>1505</v>
      </c>
      <c r="D19" s="79">
        <v>2</v>
      </c>
      <c r="E19" s="56">
        <v>25</v>
      </c>
      <c r="F19" s="56">
        <f t="shared" si="0"/>
        <v>50</v>
      </c>
      <c r="G19" s="149">
        <f t="shared" ref="G19:G21" si="4">F19*0</f>
        <v>0</v>
      </c>
      <c r="H19" s="85">
        <f t="shared" ref="H19:H21" si="5">E19*1</f>
        <v>25</v>
      </c>
      <c r="I19" s="56">
        <f t="shared" si="3"/>
        <v>50</v>
      </c>
      <c r="J19" s="83"/>
      <c r="N19" s="66"/>
    </row>
    <row r="20" spans="1:14" s="21" customFormat="1" ht="25.5" x14ac:dyDescent="0.25">
      <c r="A20" s="53">
        <v>5</v>
      </c>
      <c r="B20" s="78" t="s">
        <v>1520</v>
      </c>
      <c r="C20" s="53" t="s">
        <v>1505</v>
      </c>
      <c r="D20" s="79">
        <v>2</v>
      </c>
      <c r="E20" s="56">
        <v>25</v>
      </c>
      <c r="F20" s="56">
        <f t="shared" si="0"/>
        <v>50</v>
      </c>
      <c r="G20" s="149">
        <f t="shared" si="4"/>
        <v>0</v>
      </c>
      <c r="H20" s="85">
        <f t="shared" si="5"/>
        <v>25</v>
      </c>
      <c r="I20" s="56">
        <f t="shared" si="3"/>
        <v>50</v>
      </c>
      <c r="J20" s="83"/>
      <c r="N20" s="66"/>
    </row>
    <row r="21" spans="1:14" s="21" customFormat="1" ht="25.5" x14ac:dyDescent="0.25">
      <c r="A21" s="53">
        <v>6</v>
      </c>
      <c r="B21" s="78" t="s">
        <v>1521</v>
      </c>
      <c r="C21" s="53" t="s">
        <v>1505</v>
      </c>
      <c r="D21" s="79">
        <v>2</v>
      </c>
      <c r="E21" s="56">
        <v>25</v>
      </c>
      <c r="F21" s="56">
        <f t="shared" si="0"/>
        <v>50</v>
      </c>
      <c r="G21" s="149">
        <f t="shared" si="4"/>
        <v>0</v>
      </c>
      <c r="H21" s="85">
        <f t="shared" si="5"/>
        <v>25</v>
      </c>
      <c r="I21" s="56">
        <f t="shared" si="3"/>
        <v>50</v>
      </c>
      <c r="J21" s="83"/>
      <c r="N21" s="66"/>
    </row>
    <row r="22" spans="1:14" s="21" customFormat="1" ht="15.75" hidden="1" x14ac:dyDescent="0.25">
      <c r="A22" s="53">
        <v>7</v>
      </c>
      <c r="B22" s="78" t="s">
        <v>1523</v>
      </c>
      <c r="C22" s="53" t="s">
        <v>1506</v>
      </c>
      <c r="D22" s="79">
        <v>2</v>
      </c>
      <c r="E22" s="56">
        <v>25</v>
      </c>
      <c r="F22" s="56">
        <f t="shared" si="0"/>
        <v>50</v>
      </c>
      <c r="G22" s="149">
        <f t="shared" si="1"/>
        <v>8.5</v>
      </c>
      <c r="H22" s="85">
        <f t="shared" si="2"/>
        <v>29.25</v>
      </c>
      <c r="I22" s="56">
        <f t="shared" si="3"/>
        <v>58.5</v>
      </c>
      <c r="J22" s="83"/>
      <c r="N22" s="66"/>
    </row>
    <row r="23" spans="1:14" s="21" customFormat="1" ht="15.75" hidden="1" x14ac:dyDescent="0.25">
      <c r="A23" s="53">
        <v>8</v>
      </c>
      <c r="B23" s="78" t="s">
        <v>1489</v>
      </c>
      <c r="C23" s="53" t="s">
        <v>1506</v>
      </c>
      <c r="D23" s="79">
        <v>2</v>
      </c>
      <c r="E23" s="56">
        <v>12</v>
      </c>
      <c r="F23" s="56">
        <f t="shared" si="0"/>
        <v>24</v>
      </c>
      <c r="G23" s="149">
        <f t="shared" si="1"/>
        <v>4.08</v>
      </c>
      <c r="H23" s="85">
        <f t="shared" si="2"/>
        <v>14.04</v>
      </c>
      <c r="I23" s="56">
        <f t="shared" si="3"/>
        <v>28.08</v>
      </c>
      <c r="J23" s="83"/>
      <c r="N23" s="66"/>
    </row>
    <row r="24" spans="1:14" s="21" customFormat="1" ht="15.75" hidden="1" x14ac:dyDescent="0.25">
      <c r="A24" s="53">
        <v>9</v>
      </c>
      <c r="B24" s="78" t="s">
        <v>1527</v>
      </c>
      <c r="C24" s="53" t="s">
        <v>23</v>
      </c>
      <c r="D24" s="79">
        <v>1</v>
      </c>
      <c r="E24" s="56">
        <v>28</v>
      </c>
      <c r="F24" s="56">
        <f t="shared" si="0"/>
        <v>28</v>
      </c>
      <c r="G24" s="149">
        <f t="shared" si="1"/>
        <v>4.7600000000000007</v>
      </c>
      <c r="H24" s="85">
        <f t="shared" si="2"/>
        <v>32.76</v>
      </c>
      <c r="I24" s="56">
        <f t="shared" si="3"/>
        <v>32.76</v>
      </c>
      <c r="J24" s="83"/>
      <c r="N24" s="66"/>
    </row>
    <row r="25" spans="1:14" s="21" customFormat="1" ht="15.75" hidden="1" x14ac:dyDescent="0.25">
      <c r="A25" s="53">
        <v>10</v>
      </c>
      <c r="B25" s="78" t="s">
        <v>1528</v>
      </c>
      <c r="C25" s="53" t="s">
        <v>23</v>
      </c>
      <c r="D25" s="79">
        <v>2</v>
      </c>
      <c r="E25" s="56">
        <v>100</v>
      </c>
      <c r="F25" s="56">
        <f t="shared" si="0"/>
        <v>200</v>
      </c>
      <c r="G25" s="149">
        <f t="shared" si="1"/>
        <v>34</v>
      </c>
      <c r="H25" s="85">
        <f t="shared" si="2"/>
        <v>117</v>
      </c>
      <c r="I25" s="56">
        <f t="shared" si="3"/>
        <v>234</v>
      </c>
      <c r="J25" s="83"/>
      <c r="N25" s="66"/>
    </row>
    <row r="26" spans="1:14" s="21" customFormat="1" ht="15.75" hidden="1" x14ac:dyDescent="0.25">
      <c r="A26" s="53">
        <v>11</v>
      </c>
      <c r="B26" s="78" t="s">
        <v>1538</v>
      </c>
      <c r="C26" s="53" t="s">
        <v>23</v>
      </c>
      <c r="D26" s="79">
        <v>2</v>
      </c>
      <c r="E26" s="56">
        <v>340</v>
      </c>
      <c r="F26" s="56">
        <f t="shared" si="0"/>
        <v>680</v>
      </c>
      <c r="G26" s="149">
        <f t="shared" si="1"/>
        <v>115.60000000000001</v>
      </c>
      <c r="H26" s="85">
        <f t="shared" si="2"/>
        <v>397.79999999999995</v>
      </c>
      <c r="I26" s="56">
        <f t="shared" si="3"/>
        <v>795.59999999999991</v>
      </c>
      <c r="J26" s="83"/>
      <c r="N26" s="66"/>
    </row>
    <row r="27" spans="1:14" s="21" customFormat="1" ht="15.75" x14ac:dyDescent="0.25">
      <c r="A27" s="53">
        <v>12</v>
      </c>
      <c r="B27" s="78" t="s">
        <v>1501</v>
      </c>
      <c r="C27" s="53" t="s">
        <v>1506</v>
      </c>
      <c r="D27" s="79">
        <v>2</v>
      </c>
      <c r="E27" s="56">
        <v>28</v>
      </c>
      <c r="F27" s="56">
        <f t="shared" si="0"/>
        <v>56</v>
      </c>
      <c r="G27" s="149">
        <f>F27*0</f>
        <v>0</v>
      </c>
      <c r="H27" s="85">
        <f>E27*1</f>
        <v>28</v>
      </c>
      <c r="I27" s="56">
        <f t="shared" si="3"/>
        <v>56</v>
      </c>
      <c r="J27" s="83"/>
      <c r="N27" s="66"/>
    </row>
    <row r="28" spans="1:14" s="21" customFormat="1" ht="25.5" hidden="1" x14ac:dyDescent="0.25">
      <c r="A28" s="53">
        <v>13</v>
      </c>
      <c r="B28" s="78" t="s">
        <v>1518</v>
      </c>
      <c r="C28" s="53" t="s">
        <v>1505</v>
      </c>
      <c r="D28" s="79">
        <v>2</v>
      </c>
      <c r="E28" s="56">
        <v>25</v>
      </c>
      <c r="F28" s="56">
        <f t="shared" si="0"/>
        <v>50</v>
      </c>
      <c r="G28" s="149">
        <f t="shared" si="1"/>
        <v>8.5</v>
      </c>
      <c r="H28" s="85">
        <f t="shared" si="2"/>
        <v>29.25</v>
      </c>
      <c r="I28" s="56">
        <f t="shared" si="3"/>
        <v>58.5</v>
      </c>
      <c r="J28" s="83"/>
      <c r="N28" s="66"/>
    </row>
    <row r="29" spans="1:14" s="21" customFormat="1" ht="15.75" hidden="1" x14ac:dyDescent="0.25">
      <c r="A29" s="53">
        <v>14</v>
      </c>
      <c r="B29" s="78" t="s">
        <v>1494</v>
      </c>
      <c r="C29" s="53" t="s">
        <v>1506</v>
      </c>
      <c r="D29" s="79">
        <v>1</v>
      </c>
      <c r="E29" s="56">
        <v>25</v>
      </c>
      <c r="F29" s="56">
        <f t="shared" si="0"/>
        <v>25</v>
      </c>
      <c r="G29" s="149">
        <f t="shared" si="1"/>
        <v>4.25</v>
      </c>
      <c r="H29" s="85">
        <f t="shared" si="2"/>
        <v>29.25</v>
      </c>
      <c r="I29" s="56">
        <f t="shared" si="3"/>
        <v>29.25</v>
      </c>
      <c r="J29" s="83"/>
      <c r="N29" s="66"/>
    </row>
    <row r="30" spans="1:14" s="21" customFormat="1" ht="15.75" hidden="1" x14ac:dyDescent="0.25">
      <c r="A30" s="53">
        <v>15</v>
      </c>
      <c r="B30" s="78" t="s">
        <v>1495</v>
      </c>
      <c r="C30" s="53" t="s">
        <v>1506</v>
      </c>
      <c r="D30" s="79">
        <v>2</v>
      </c>
      <c r="E30" s="56">
        <v>110</v>
      </c>
      <c r="F30" s="56">
        <f t="shared" si="0"/>
        <v>220</v>
      </c>
      <c r="G30" s="149">
        <f t="shared" si="1"/>
        <v>37.400000000000006</v>
      </c>
      <c r="H30" s="85">
        <f t="shared" si="2"/>
        <v>128.69999999999999</v>
      </c>
      <c r="I30" s="56">
        <f t="shared" si="3"/>
        <v>257.39999999999998</v>
      </c>
      <c r="J30" s="83"/>
      <c r="N30" s="66"/>
    </row>
    <row r="31" spans="1:14" s="21" customFormat="1" ht="25.5" hidden="1" x14ac:dyDescent="0.25">
      <c r="A31" s="53">
        <v>16</v>
      </c>
      <c r="B31" s="78" t="s">
        <v>1496</v>
      </c>
      <c r="C31" s="53" t="s">
        <v>1506</v>
      </c>
      <c r="D31" s="79">
        <v>1</v>
      </c>
      <c r="E31" s="56">
        <v>30</v>
      </c>
      <c r="F31" s="56">
        <f t="shared" si="0"/>
        <v>30</v>
      </c>
      <c r="G31" s="149">
        <f t="shared" si="1"/>
        <v>5.1000000000000005</v>
      </c>
      <c r="H31" s="85">
        <f t="shared" si="2"/>
        <v>35.099999999999994</v>
      </c>
      <c r="I31" s="56">
        <f t="shared" si="3"/>
        <v>35.099999999999994</v>
      </c>
      <c r="J31" s="83"/>
      <c r="N31" s="66"/>
    </row>
    <row r="32" spans="1:14" s="21" customFormat="1" ht="15.75" hidden="1" x14ac:dyDescent="0.25">
      <c r="A32" s="53">
        <v>17</v>
      </c>
      <c r="B32" s="78" t="s">
        <v>1536</v>
      </c>
      <c r="C32" s="53" t="s">
        <v>1506</v>
      </c>
      <c r="D32" s="79">
        <v>1</v>
      </c>
      <c r="E32" s="56">
        <v>25</v>
      </c>
      <c r="F32" s="56">
        <f t="shared" si="0"/>
        <v>25</v>
      </c>
      <c r="G32" s="149">
        <f t="shared" si="1"/>
        <v>4.25</v>
      </c>
      <c r="H32" s="85">
        <f t="shared" si="2"/>
        <v>29.25</v>
      </c>
      <c r="I32" s="56">
        <f t="shared" si="3"/>
        <v>29.25</v>
      </c>
      <c r="J32" s="83"/>
      <c r="N32" s="66"/>
    </row>
    <row r="33" spans="1:18" s="21" customFormat="1" ht="15.75" hidden="1" x14ac:dyDescent="0.25">
      <c r="A33" s="53">
        <v>18</v>
      </c>
      <c r="B33" s="78" t="s">
        <v>2244</v>
      </c>
      <c r="C33" s="53" t="s">
        <v>1506</v>
      </c>
      <c r="D33" s="79">
        <v>1</v>
      </c>
      <c r="E33" s="56">
        <v>18</v>
      </c>
      <c r="F33" s="56">
        <f t="shared" si="0"/>
        <v>18</v>
      </c>
      <c r="G33" s="149">
        <f t="shared" si="1"/>
        <v>3.06</v>
      </c>
      <c r="H33" s="85">
        <f t="shared" si="2"/>
        <v>21.06</v>
      </c>
      <c r="I33" s="56">
        <f t="shared" si="3"/>
        <v>21.06</v>
      </c>
      <c r="J33" s="83"/>
      <c r="N33" s="66"/>
    </row>
    <row r="34" spans="1:18" s="21" customFormat="1" ht="15.75" hidden="1" x14ac:dyDescent="0.25">
      <c r="A34" s="53">
        <v>19</v>
      </c>
      <c r="B34" s="78" t="s">
        <v>1498</v>
      </c>
      <c r="C34" s="53" t="s">
        <v>1506</v>
      </c>
      <c r="D34" s="79">
        <v>1</v>
      </c>
      <c r="E34" s="56">
        <v>175</v>
      </c>
      <c r="F34" s="56">
        <f t="shared" si="0"/>
        <v>175</v>
      </c>
      <c r="G34" s="149">
        <f t="shared" si="1"/>
        <v>29.750000000000004</v>
      </c>
      <c r="H34" s="85">
        <f t="shared" si="2"/>
        <v>204.75</v>
      </c>
      <c r="I34" s="56">
        <f t="shared" si="3"/>
        <v>204.75</v>
      </c>
      <c r="J34" s="83"/>
      <c r="N34" s="66"/>
    </row>
    <row r="35" spans="1:18" s="21" customFormat="1" ht="15.75" hidden="1" x14ac:dyDescent="0.25">
      <c r="A35" s="53">
        <v>20</v>
      </c>
      <c r="B35" s="78" t="s">
        <v>1530</v>
      </c>
      <c r="C35" s="53" t="s">
        <v>1506</v>
      </c>
      <c r="D35" s="79">
        <v>1</v>
      </c>
      <c r="E35" s="56">
        <v>135</v>
      </c>
      <c r="F35" s="56">
        <f t="shared" si="0"/>
        <v>135</v>
      </c>
      <c r="G35" s="149">
        <f t="shared" si="1"/>
        <v>22.950000000000003</v>
      </c>
      <c r="H35" s="85">
        <f t="shared" si="2"/>
        <v>157.94999999999999</v>
      </c>
      <c r="I35" s="56">
        <f t="shared" si="3"/>
        <v>157.94999999999999</v>
      </c>
      <c r="J35" s="83"/>
      <c r="N35" s="66"/>
    </row>
    <row r="36" spans="1:18" s="21" customFormat="1" ht="15.75" hidden="1" x14ac:dyDescent="0.25">
      <c r="A36" s="53">
        <v>21</v>
      </c>
      <c r="B36" s="78" t="s">
        <v>1544</v>
      </c>
      <c r="C36" s="53" t="s">
        <v>1506</v>
      </c>
      <c r="D36" s="79">
        <v>1</v>
      </c>
      <c r="E36" s="56">
        <v>100</v>
      </c>
      <c r="F36" s="56">
        <f t="shared" si="0"/>
        <v>100</v>
      </c>
      <c r="G36" s="149">
        <f t="shared" si="1"/>
        <v>17</v>
      </c>
      <c r="H36" s="85">
        <f t="shared" si="2"/>
        <v>117</v>
      </c>
      <c r="I36" s="56">
        <f t="shared" si="3"/>
        <v>117</v>
      </c>
      <c r="J36" s="83"/>
      <c r="N36" s="66"/>
    </row>
    <row r="37" spans="1:18" s="21" customFormat="1" ht="15.75" hidden="1" x14ac:dyDescent="0.25">
      <c r="A37" s="53">
        <v>22</v>
      </c>
      <c r="B37" s="78" t="s">
        <v>1503</v>
      </c>
      <c r="C37" s="53" t="s">
        <v>1506</v>
      </c>
      <c r="D37" s="79">
        <v>1</v>
      </c>
      <c r="E37" s="56">
        <v>26</v>
      </c>
      <c r="F37" s="56">
        <f t="shared" si="0"/>
        <v>26</v>
      </c>
      <c r="G37" s="149">
        <f t="shared" si="1"/>
        <v>4.42</v>
      </c>
      <c r="H37" s="85">
        <f t="shared" si="2"/>
        <v>30.419999999999998</v>
      </c>
      <c r="I37" s="56">
        <f t="shared" si="3"/>
        <v>30.419999999999998</v>
      </c>
      <c r="J37" s="83"/>
      <c r="N37" s="66"/>
    </row>
    <row r="38" spans="1:18" s="21" customFormat="1" ht="15.75" hidden="1" x14ac:dyDescent="0.25">
      <c r="A38" s="53">
        <v>23</v>
      </c>
      <c r="B38" s="78" t="s">
        <v>1504</v>
      </c>
      <c r="C38" s="53" t="s">
        <v>1506</v>
      </c>
      <c r="D38" s="79">
        <v>2</v>
      </c>
      <c r="E38" s="56">
        <v>20</v>
      </c>
      <c r="F38" s="56">
        <f t="shared" si="0"/>
        <v>40</v>
      </c>
      <c r="G38" s="149">
        <f t="shared" si="1"/>
        <v>6.8000000000000007</v>
      </c>
      <c r="H38" s="85">
        <f t="shared" si="2"/>
        <v>23.4</v>
      </c>
      <c r="I38" s="56">
        <f t="shared" si="3"/>
        <v>46.8</v>
      </c>
      <c r="J38" s="83"/>
      <c r="N38" s="66"/>
    </row>
    <row r="39" spans="1:18" s="21" customFormat="1" ht="25.5" hidden="1" x14ac:dyDescent="0.25">
      <c r="A39" s="53">
        <v>24</v>
      </c>
      <c r="B39" s="78" t="s">
        <v>1539</v>
      </c>
      <c r="C39" s="53" t="s">
        <v>1506</v>
      </c>
      <c r="D39" s="79">
        <v>1</v>
      </c>
      <c r="E39" s="56">
        <v>125</v>
      </c>
      <c r="F39" s="56">
        <f t="shared" si="0"/>
        <v>125</v>
      </c>
      <c r="G39" s="149">
        <f t="shared" si="1"/>
        <v>21.25</v>
      </c>
      <c r="H39" s="85">
        <f t="shared" si="2"/>
        <v>146.25</v>
      </c>
      <c r="I39" s="56">
        <f t="shared" ref="I39:I43" si="6">H39*D39</f>
        <v>146.25</v>
      </c>
      <c r="J39" s="83"/>
      <c r="N39" s="66"/>
    </row>
    <row r="40" spans="1:18" s="21" customFormat="1" ht="15.75" x14ac:dyDescent="0.25">
      <c r="A40" s="53">
        <v>25</v>
      </c>
      <c r="B40" s="78" t="s">
        <v>1949</v>
      </c>
      <c r="C40" s="53" t="s">
        <v>76</v>
      </c>
      <c r="D40" s="79">
        <v>2</v>
      </c>
      <c r="E40" s="56">
        <v>75</v>
      </c>
      <c r="F40" s="56">
        <f t="shared" si="0"/>
        <v>150</v>
      </c>
      <c r="G40" s="149">
        <f>F40*0</f>
        <v>0</v>
      </c>
      <c r="H40" s="85">
        <f>E40*1</f>
        <v>75</v>
      </c>
      <c r="I40" s="56">
        <f t="shared" si="6"/>
        <v>150</v>
      </c>
      <c r="J40" s="83"/>
      <c r="N40" s="66"/>
    </row>
    <row r="41" spans="1:18" s="21" customFormat="1" ht="25.5" hidden="1" x14ac:dyDescent="0.25">
      <c r="A41" s="53">
        <v>26</v>
      </c>
      <c r="B41" s="78" t="s">
        <v>2247</v>
      </c>
      <c r="C41" s="53" t="s">
        <v>23</v>
      </c>
      <c r="D41" s="79">
        <v>2</v>
      </c>
      <c r="E41" s="56">
        <v>380</v>
      </c>
      <c r="F41" s="56">
        <f t="shared" ref="F41:F43" si="7">D41*E41</f>
        <v>760</v>
      </c>
      <c r="G41" s="149">
        <f t="shared" si="1"/>
        <v>129.20000000000002</v>
      </c>
      <c r="H41" s="85">
        <f t="shared" si="2"/>
        <v>444.59999999999997</v>
      </c>
      <c r="I41" s="56">
        <f t="shared" si="6"/>
        <v>889.19999999999993</v>
      </c>
      <c r="J41" s="83"/>
      <c r="N41" s="66"/>
    </row>
    <row r="42" spans="1:18" s="21" customFormat="1" ht="15.75" x14ac:dyDescent="0.25">
      <c r="A42" s="53">
        <v>27</v>
      </c>
      <c r="B42" s="78" t="s">
        <v>2243</v>
      </c>
      <c r="C42" s="53" t="s">
        <v>23</v>
      </c>
      <c r="D42" s="79">
        <v>2</v>
      </c>
      <c r="E42" s="56">
        <v>65</v>
      </c>
      <c r="F42" s="56">
        <f t="shared" si="7"/>
        <v>130</v>
      </c>
      <c r="G42" s="149">
        <f>F42*0</f>
        <v>0</v>
      </c>
      <c r="H42" s="85">
        <f>E42*1</f>
        <v>65</v>
      </c>
      <c r="I42" s="56">
        <f t="shared" si="6"/>
        <v>130</v>
      </c>
      <c r="J42" s="83"/>
      <c r="N42" s="66"/>
    </row>
    <row r="43" spans="1:18" s="21" customFormat="1" ht="15.75" hidden="1" x14ac:dyDescent="0.25">
      <c r="A43" s="53">
        <v>28</v>
      </c>
      <c r="B43" s="78" t="s">
        <v>1550</v>
      </c>
      <c r="C43" s="53" t="s">
        <v>166</v>
      </c>
      <c r="D43" s="79">
        <v>1</v>
      </c>
      <c r="E43" s="56">
        <v>85</v>
      </c>
      <c r="F43" s="56">
        <f t="shared" si="7"/>
        <v>85</v>
      </c>
      <c r="G43" s="149">
        <f t="shared" si="1"/>
        <v>14.450000000000001</v>
      </c>
      <c r="H43" s="85">
        <f t="shared" si="2"/>
        <v>99.449999999999989</v>
      </c>
      <c r="I43" s="56">
        <f t="shared" si="6"/>
        <v>99.449999999999989</v>
      </c>
      <c r="J43" s="83"/>
      <c r="N43" s="66"/>
    </row>
    <row r="44" spans="1:18" s="21" customFormat="1" ht="15.75" hidden="1" x14ac:dyDescent="0.25">
      <c r="A44" s="53"/>
      <c r="B44" s="78"/>
      <c r="C44" s="53"/>
      <c r="D44" s="79"/>
      <c r="E44" s="56"/>
      <c r="F44" s="56"/>
      <c r="G44" s="149"/>
      <c r="H44" s="85"/>
      <c r="I44" s="56"/>
      <c r="J44" s="83"/>
      <c r="N44" s="66"/>
    </row>
    <row r="45" spans="1:18" ht="15.75" hidden="1" thickBot="1" x14ac:dyDescent="0.3">
      <c r="A45" s="33"/>
      <c r="B45" s="34" t="s">
        <v>24</v>
      </c>
      <c r="C45" s="35"/>
      <c r="D45" s="62">
        <f>SUM(D16:D44)</f>
        <v>43</v>
      </c>
      <c r="E45" s="35"/>
      <c r="F45" s="62">
        <f>SUM(F16:F44)</f>
        <v>3652</v>
      </c>
      <c r="G45" s="62">
        <f>SUM(G16:G44)</f>
        <v>538.22000000000014</v>
      </c>
      <c r="H45" s="35"/>
      <c r="I45" s="62">
        <f>SUM(I16:I44)</f>
        <v>4190.2199999999993</v>
      </c>
      <c r="J45" s="37"/>
    </row>
    <row r="46" spans="1:18" hidden="1" x14ac:dyDescent="0.25">
      <c r="A46" s="33"/>
      <c r="B46" s="34" t="s">
        <v>2272</v>
      </c>
      <c r="C46" s="35"/>
      <c r="D46" s="35"/>
      <c r="E46" s="35"/>
      <c r="F46" s="35"/>
      <c r="G46" s="35"/>
      <c r="H46" s="35"/>
      <c r="I46" s="35"/>
      <c r="J46" s="37"/>
    </row>
    <row r="47" spans="1:18" hidden="1" x14ac:dyDescent="0.25">
      <c r="A47" s="33"/>
      <c r="B47" s="38" t="s">
        <v>25</v>
      </c>
      <c r="C47" s="35"/>
      <c r="D47" s="35"/>
      <c r="E47" s="35"/>
      <c r="F47" s="35"/>
      <c r="G47" s="35"/>
      <c r="H47" s="35"/>
      <c r="I47" s="35"/>
      <c r="J47" s="37"/>
      <c r="M47" s="64"/>
      <c r="O47" s="65"/>
      <c r="P47" s="64"/>
      <c r="Q47" s="64"/>
      <c r="R47" s="64"/>
    </row>
    <row r="48" spans="1:18" ht="30" hidden="1" customHeight="1" x14ac:dyDescent="0.25">
      <c r="B48" s="183" t="s">
        <v>26</v>
      </c>
      <c r="C48" s="183"/>
      <c r="D48" s="183"/>
      <c r="E48" s="183"/>
      <c r="F48" s="183"/>
      <c r="G48" s="183"/>
      <c r="H48" s="183"/>
      <c r="I48" s="183"/>
      <c r="J48" s="183"/>
      <c r="P48" s="64"/>
      <c r="R48" s="65"/>
    </row>
    <row r="49" spans="2:8" hidden="1" x14ac:dyDescent="0.25">
      <c r="B49" t="s">
        <v>634</v>
      </c>
    </row>
    <row r="52" spans="2:8" x14ac:dyDescent="0.25">
      <c r="B52" t="s">
        <v>28</v>
      </c>
      <c r="H52" t="s">
        <v>28</v>
      </c>
    </row>
    <row r="53" spans="2:8" x14ac:dyDescent="0.25">
      <c r="B53" t="s">
        <v>29</v>
      </c>
      <c r="H53" t="s">
        <v>30</v>
      </c>
    </row>
  </sheetData>
  <autoFilter ref="A15:J49" xr:uid="{00000000-0009-0000-0000-000000000000}">
    <filterColumn colId="6">
      <filters>
        <filter val="-"/>
      </filters>
    </filterColumn>
  </autoFilter>
  <mergeCells count="5">
    <mergeCell ref="A6:J6"/>
    <mergeCell ref="I7:J7"/>
    <mergeCell ref="I8:J8"/>
    <mergeCell ref="I9:J9"/>
    <mergeCell ref="B48:J48"/>
  </mergeCells>
  <hyperlinks>
    <hyperlink ref="H5" r:id="rId1" xr:uid="{36843DBF-E268-4BA0-8983-F2B9AF10EFDC}"/>
  </hyperlinks>
  <pageMargins left="0.2" right="0.1" top="0.25" bottom="0.25" header="0.3" footer="0.3"/>
  <pageSetup paperSize="9" orientation="portrait" r:id="rId2"/>
  <drawing r:id="rId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E2120-540B-499C-81AE-E784FA1CBF05}">
  <dimension ref="A1:R26"/>
  <sheetViews>
    <sheetView workbookViewId="0">
      <selection activeCell="C17" sqref="C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1193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1189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1192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4" s="21" customFormat="1" ht="15.75" x14ac:dyDescent="0.25">
      <c r="A16" s="53">
        <v>1</v>
      </c>
      <c r="B16" s="78" t="s">
        <v>1190</v>
      </c>
      <c r="C16" s="53" t="s">
        <v>23</v>
      </c>
      <c r="D16" s="79">
        <v>2000</v>
      </c>
      <c r="E16" s="56">
        <v>7</v>
      </c>
      <c r="F16" s="56">
        <f t="shared" ref="F16" si="0">D16*E16</f>
        <v>14000</v>
      </c>
      <c r="G16" s="56">
        <f>F16*0</f>
        <v>0</v>
      </c>
      <c r="H16" s="74">
        <f>E16*1</f>
        <v>7</v>
      </c>
      <c r="I16" s="56">
        <f t="shared" ref="I16" si="1">H16*D16</f>
        <v>14000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M17" s="21">
        <f t="shared" ref="M17" si="2">440*1.02</f>
        <v>448.8</v>
      </c>
      <c r="N17" s="66" t="e">
        <f>M17-#REF!</f>
        <v>#REF!</v>
      </c>
      <c r="O17" s="21" t="e">
        <f t="shared" ref="O17" si="3">N17*D17</f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2000</v>
      </c>
      <c r="E18" s="35"/>
      <c r="F18" s="62">
        <f>SUM(F16:F17)</f>
        <v>14000</v>
      </c>
      <c r="G18" s="62">
        <f>SUM(G16:G17)</f>
        <v>0</v>
      </c>
      <c r="H18" s="35"/>
      <c r="I18" s="62">
        <f>SUM(I16:I17)</f>
        <v>14000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1191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025488FC-E452-4161-8732-B24D26C669B0}"/>
  </hyperlinks>
  <pageMargins left="0.2" right="0.1" top="0.25" bottom="0.25" header="0.3" footer="0.3"/>
  <pageSetup paperSize="9" orientation="portrait" r:id="rId2"/>
  <drawing r:id="rId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A9B93-B8B4-40D6-B35E-48833FA7DE20}">
  <dimension ref="A1:J25"/>
  <sheetViews>
    <sheetView topLeftCell="A5" workbookViewId="0">
      <selection activeCell="C13" sqref="C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1175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1185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1186</v>
      </c>
      <c r="J9" s="188"/>
    </row>
    <row r="10" spans="1:10" x14ac:dyDescent="0.25">
      <c r="B10" t="s">
        <v>9</v>
      </c>
      <c r="C10" s="10" t="s">
        <v>998</v>
      </c>
      <c r="D10" s="10"/>
      <c r="E10" s="10"/>
      <c r="F10" s="10"/>
    </row>
    <row r="11" spans="1:10" x14ac:dyDescent="0.25">
      <c r="B11" t="s">
        <v>11</v>
      </c>
      <c r="C11" s="10" t="s">
        <v>999</v>
      </c>
      <c r="D11" s="11"/>
      <c r="E11" s="11"/>
      <c r="F11" s="11"/>
    </row>
    <row r="12" spans="1:10" x14ac:dyDescent="0.25">
      <c r="A12" s="12"/>
      <c r="B12" s="13"/>
      <c r="C12" s="14" t="s">
        <v>1000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1001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1002</v>
      </c>
      <c r="C16" s="54" t="s">
        <v>23</v>
      </c>
      <c r="D16" s="72">
        <v>2</v>
      </c>
      <c r="E16" s="56">
        <v>3200</v>
      </c>
      <c r="F16" s="56">
        <f t="shared" ref="F16" si="0">D16*E16</f>
        <v>6400</v>
      </c>
      <c r="G16" s="56">
        <f>F16*0.17</f>
        <v>1088</v>
      </c>
      <c r="H16" s="84">
        <f>E16*1.17</f>
        <v>3744</v>
      </c>
      <c r="I16" s="56">
        <f t="shared" ref="I16" si="1">H16*D16</f>
        <v>7488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2</v>
      </c>
      <c r="E17" s="35"/>
      <c r="F17" s="62">
        <f>SUM(F16:F16)</f>
        <v>6400</v>
      </c>
      <c r="G17" s="62">
        <f>SUM(G16:G16)</f>
        <v>1088</v>
      </c>
      <c r="H17" s="35"/>
      <c r="I17" s="62">
        <f>SUM(I16:I16)</f>
        <v>7488</v>
      </c>
      <c r="J17" s="37"/>
    </row>
    <row r="18" spans="1:10" ht="15.75" thickTop="1" x14ac:dyDescent="0.25">
      <c r="A18" s="33"/>
      <c r="B18" s="34" t="s">
        <v>1187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A0239F66-4C3E-4F28-8E05-F0BF73A252DC}"/>
  </hyperlinks>
  <pageMargins left="0.2" right="0.1" top="0.25" bottom="0.25" header="0.3" footer="0.3"/>
  <pageSetup paperSize="9" orientation="portrait" r:id="rId2"/>
  <drawing r:id="rId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AE898-49F1-4D6B-AE5B-CC2CD1396B34}">
  <dimension ref="A1:J27"/>
  <sheetViews>
    <sheetView topLeftCell="A13" workbookViewId="0">
      <selection activeCell="C13" sqref="C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1175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1181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1182</v>
      </c>
      <c r="J9" s="188"/>
    </row>
    <row r="10" spans="1:10" x14ac:dyDescent="0.25">
      <c r="B10" t="s">
        <v>9</v>
      </c>
      <c r="C10" s="10" t="s">
        <v>1067</v>
      </c>
      <c r="D10" s="10"/>
      <c r="E10" s="10"/>
      <c r="F10" s="10"/>
    </row>
    <row r="11" spans="1:10" x14ac:dyDescent="0.25">
      <c r="B11" t="s">
        <v>11</v>
      </c>
      <c r="C11" s="10" t="s">
        <v>1068</v>
      </c>
      <c r="D11" s="11"/>
      <c r="E11" s="11"/>
      <c r="F11" s="11"/>
    </row>
    <row r="12" spans="1:10" x14ac:dyDescent="0.25">
      <c r="A12" s="12"/>
      <c r="B12" s="13"/>
      <c r="C12" s="14" t="s">
        <v>1069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1070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1058</v>
      </c>
      <c r="C16" s="54" t="s">
        <v>23</v>
      </c>
      <c r="D16" s="72">
        <v>2</v>
      </c>
      <c r="E16" s="56">
        <v>7500</v>
      </c>
      <c r="F16" s="56">
        <f t="shared" ref="F16:F17" si="0">D16*E16</f>
        <v>15000</v>
      </c>
      <c r="G16" s="56">
        <f>F16*0.17</f>
        <v>2550</v>
      </c>
      <c r="H16" s="84">
        <f>E16*1.17</f>
        <v>8775</v>
      </c>
      <c r="I16" s="56">
        <f t="shared" ref="I16:I17" si="1">H16*D16</f>
        <v>17550</v>
      </c>
      <c r="J16" s="58"/>
    </row>
    <row r="17" spans="1:10" s="21" customFormat="1" ht="30" x14ac:dyDescent="0.25">
      <c r="A17" s="53">
        <v>2</v>
      </c>
      <c r="B17" s="47" t="s">
        <v>1002</v>
      </c>
      <c r="C17" s="54" t="s">
        <v>23</v>
      </c>
      <c r="D17" s="72">
        <v>2</v>
      </c>
      <c r="E17" s="56">
        <v>3500</v>
      </c>
      <c r="F17" s="56">
        <f t="shared" si="0"/>
        <v>7000</v>
      </c>
      <c r="G17" s="56">
        <f>F17*0.17</f>
        <v>1190</v>
      </c>
      <c r="H17" s="84">
        <f>E17*1.17</f>
        <v>4094.9999999999995</v>
      </c>
      <c r="I17" s="56">
        <f t="shared" si="1"/>
        <v>8189.9999999999991</v>
      </c>
      <c r="J17" s="58"/>
    </row>
    <row r="18" spans="1:10" s="21" customFormat="1" ht="30" x14ac:dyDescent="0.25">
      <c r="A18" s="53">
        <v>3</v>
      </c>
      <c r="B18" s="47" t="s">
        <v>1183</v>
      </c>
      <c r="C18" s="54" t="s">
        <v>23</v>
      </c>
      <c r="D18" s="72">
        <v>3</v>
      </c>
      <c r="E18" s="56">
        <v>5700</v>
      </c>
      <c r="F18" s="56">
        <f t="shared" ref="F18" si="2">D18*E18</f>
        <v>17100</v>
      </c>
      <c r="G18" s="56">
        <f>F18*0.17</f>
        <v>2907</v>
      </c>
      <c r="H18" s="84">
        <f>E18*1.17</f>
        <v>6669</v>
      </c>
      <c r="I18" s="56">
        <f t="shared" ref="I18" si="3">H18*D18</f>
        <v>20007</v>
      </c>
      <c r="J18" s="58"/>
    </row>
    <row r="19" spans="1:10" ht="15.75" thickBot="1" x14ac:dyDescent="0.3">
      <c r="A19" s="33"/>
      <c r="B19" s="34" t="s">
        <v>24</v>
      </c>
      <c r="C19" s="35"/>
      <c r="D19" s="62">
        <f>SUM(D16:D18)</f>
        <v>7</v>
      </c>
      <c r="E19" s="35"/>
      <c r="F19" s="62">
        <f t="shared" ref="F19:G19" si="4">SUM(F16:F18)</f>
        <v>39100</v>
      </c>
      <c r="G19" s="62">
        <f t="shared" si="4"/>
        <v>6647</v>
      </c>
      <c r="H19" s="35"/>
      <c r="I19" s="62">
        <f>SUM(I16:I18)</f>
        <v>45747</v>
      </c>
      <c r="J19" s="37"/>
    </row>
    <row r="20" spans="1:10" ht="15.75" thickTop="1" x14ac:dyDescent="0.25">
      <c r="A20" s="33"/>
      <c r="B20" s="34" t="s">
        <v>1184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634</v>
      </c>
    </row>
    <row r="26" spans="1:10" x14ac:dyDescent="0.25">
      <c r="B26" t="s">
        <v>28</v>
      </c>
      <c r="H26" t="s">
        <v>28</v>
      </c>
    </row>
    <row r="27" spans="1:10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0217D993-5D28-4F7E-BE4D-1214BBC64395}"/>
  </hyperlinks>
  <pageMargins left="0.2" right="0.1" top="0.25" bottom="0.25" header="0.3" footer="0.3"/>
  <pageSetup paperSize="9" orientation="portrait" r:id="rId2"/>
  <drawing r:id="rId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BCE44-FF14-4C45-893D-EFBA6E7C6B89}">
  <dimension ref="A1:J27"/>
  <sheetViews>
    <sheetView topLeftCell="A8" workbookViewId="0">
      <selection activeCell="C19" sqref="C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1175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1178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1179</v>
      </c>
      <c r="J9" s="188"/>
    </row>
    <row r="10" spans="1:10" x14ac:dyDescent="0.25">
      <c r="B10" t="s">
        <v>9</v>
      </c>
      <c r="C10" s="10" t="s">
        <v>1008</v>
      </c>
      <c r="D10" s="10"/>
      <c r="E10" s="10"/>
      <c r="F10" s="10"/>
    </row>
    <row r="11" spans="1:10" x14ac:dyDescent="0.25">
      <c r="B11" t="s">
        <v>11</v>
      </c>
      <c r="C11" s="10" t="s">
        <v>999</v>
      </c>
      <c r="D11" s="11"/>
      <c r="E11" s="11"/>
      <c r="F11" s="11"/>
    </row>
    <row r="12" spans="1:10" x14ac:dyDescent="0.25">
      <c r="A12" s="12"/>
      <c r="B12" s="13"/>
      <c r="C12" s="14" t="s">
        <v>1000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1009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1058</v>
      </c>
      <c r="C16" s="54" t="s">
        <v>23</v>
      </c>
      <c r="D16" s="72">
        <v>6</v>
      </c>
      <c r="E16" s="56">
        <v>7500</v>
      </c>
      <c r="F16" s="56">
        <f t="shared" ref="F16:F18" si="0">D16*E16</f>
        <v>45000</v>
      </c>
      <c r="G16" s="56">
        <f>F16*0.17</f>
        <v>7650.0000000000009</v>
      </c>
      <c r="H16" s="84">
        <f>E16*1.17</f>
        <v>8775</v>
      </c>
      <c r="I16" s="56">
        <f t="shared" ref="I16:I18" si="1">H16*D16</f>
        <v>52650</v>
      </c>
      <c r="J16" s="58"/>
    </row>
    <row r="17" spans="1:10" s="21" customFormat="1" ht="30" x14ac:dyDescent="0.25">
      <c r="A17" s="53">
        <v>2</v>
      </c>
      <c r="B17" s="47" t="s">
        <v>1010</v>
      </c>
      <c r="C17" s="54" t="s">
        <v>23</v>
      </c>
      <c r="D17" s="72">
        <v>4</v>
      </c>
      <c r="E17" s="56">
        <v>3000</v>
      </c>
      <c r="F17" s="56">
        <f t="shared" si="0"/>
        <v>12000</v>
      </c>
      <c r="G17" s="56">
        <f>F17*0.17</f>
        <v>2040.0000000000002</v>
      </c>
      <c r="H17" s="84">
        <f>E17*1.17</f>
        <v>3510</v>
      </c>
      <c r="I17" s="56">
        <f t="shared" si="1"/>
        <v>14040</v>
      </c>
      <c r="J17" s="58"/>
    </row>
    <row r="18" spans="1:10" s="21" customFormat="1" ht="30" x14ac:dyDescent="0.25">
      <c r="A18" s="53">
        <v>3</v>
      </c>
      <c r="B18" s="47" t="s">
        <v>1059</v>
      </c>
      <c r="C18" s="54" t="s">
        <v>23</v>
      </c>
      <c r="D18" s="72">
        <v>2</v>
      </c>
      <c r="E18" s="56">
        <v>2500</v>
      </c>
      <c r="F18" s="56">
        <f t="shared" si="0"/>
        <v>5000</v>
      </c>
      <c r="G18" s="56">
        <f>F18*0.17</f>
        <v>850.00000000000011</v>
      </c>
      <c r="H18" s="84">
        <f>E18*1.17</f>
        <v>2925</v>
      </c>
      <c r="I18" s="56">
        <f t="shared" si="1"/>
        <v>5850</v>
      </c>
      <c r="J18" s="58"/>
    </row>
    <row r="19" spans="1:10" ht="15.75" thickBot="1" x14ac:dyDescent="0.3">
      <c r="A19" s="33"/>
      <c r="B19" s="34" t="s">
        <v>24</v>
      </c>
      <c r="C19" s="35"/>
      <c r="D19" s="62">
        <f>SUM(D16:D18)</f>
        <v>12</v>
      </c>
      <c r="E19" s="35"/>
      <c r="F19" s="62">
        <f>SUM(F16:F18)</f>
        <v>62000</v>
      </c>
      <c r="G19" s="62">
        <f>SUM(G16:G18)</f>
        <v>10540.000000000002</v>
      </c>
      <c r="H19" s="35"/>
      <c r="I19" s="62">
        <f>SUM(I16:I18)</f>
        <v>72540</v>
      </c>
      <c r="J19" s="37"/>
    </row>
    <row r="20" spans="1:10" ht="15.75" thickTop="1" x14ac:dyDescent="0.25">
      <c r="A20" s="33"/>
      <c r="B20" s="34" t="s">
        <v>1180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634</v>
      </c>
    </row>
    <row r="26" spans="1:10" x14ac:dyDescent="0.25">
      <c r="B26" t="s">
        <v>28</v>
      </c>
      <c r="H26" t="s">
        <v>28</v>
      </c>
    </row>
    <row r="27" spans="1:10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BC541C65-0735-484A-BEA2-4FA64E6AEB0D}"/>
  </hyperlinks>
  <pageMargins left="0.2" right="0.1" top="0.25" bottom="0.25" header="0.3" footer="0.3"/>
  <pageSetup paperSize="9" orientation="portrait" r:id="rId2"/>
  <drawing r:id="rId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7E14D-0575-49C7-9945-B5B78D7FF77E}">
  <dimension ref="A1:J26"/>
  <sheetViews>
    <sheetView topLeftCell="A8" workbookViewId="0">
      <selection activeCell="B21" sqref="B21:J2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1175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1174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1176</v>
      </c>
      <c r="J9" s="188"/>
    </row>
    <row r="10" spans="1:10" x14ac:dyDescent="0.25">
      <c r="B10" t="s">
        <v>9</v>
      </c>
      <c r="C10" s="10" t="s">
        <v>1063</v>
      </c>
      <c r="D10" s="10"/>
      <c r="E10" s="10"/>
      <c r="F10" s="10"/>
    </row>
    <row r="11" spans="1:10" x14ac:dyDescent="0.25">
      <c r="B11" t="s">
        <v>11</v>
      </c>
      <c r="C11" s="10" t="s">
        <v>999</v>
      </c>
      <c r="D11" s="11"/>
      <c r="E11" s="11"/>
      <c r="F11" s="11"/>
    </row>
    <row r="12" spans="1:10" x14ac:dyDescent="0.25">
      <c r="A12" s="12"/>
      <c r="B12" s="13"/>
      <c r="C12" s="14" t="s">
        <v>1000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1113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1058</v>
      </c>
      <c r="C16" s="54" t="s">
        <v>23</v>
      </c>
      <c r="D16" s="72">
        <v>2</v>
      </c>
      <c r="E16" s="56">
        <v>7500</v>
      </c>
      <c r="F16" s="56">
        <f t="shared" ref="F16" si="0">D16*E16</f>
        <v>15000</v>
      </c>
      <c r="G16" s="56">
        <f>F16*0.17</f>
        <v>2550</v>
      </c>
      <c r="H16" s="84">
        <f>E16*1.17</f>
        <v>8775</v>
      </c>
      <c r="I16" s="56">
        <f t="shared" ref="I16" si="1">H16*D16</f>
        <v>17550</v>
      </c>
      <c r="J16" s="58"/>
    </row>
    <row r="17" spans="1:10" s="21" customFormat="1" ht="30" x14ac:dyDescent="0.25">
      <c r="A17" s="53">
        <v>2</v>
      </c>
      <c r="B17" s="47" t="s">
        <v>1002</v>
      </c>
      <c r="C17" s="54" t="s">
        <v>23</v>
      </c>
      <c r="D17" s="72">
        <v>2</v>
      </c>
      <c r="E17" s="56">
        <v>3200</v>
      </c>
      <c r="F17" s="56">
        <f t="shared" ref="F17" si="2">D17*E17</f>
        <v>6400</v>
      </c>
      <c r="G17" s="56">
        <f>F17*0.17</f>
        <v>1088</v>
      </c>
      <c r="H17" s="84">
        <f>E17*1.17</f>
        <v>3744</v>
      </c>
      <c r="I17" s="56">
        <f t="shared" ref="I17" si="3">H17*D17</f>
        <v>7488</v>
      </c>
      <c r="J17" s="58"/>
    </row>
    <row r="18" spans="1:10" ht="15.75" thickBot="1" x14ac:dyDescent="0.3">
      <c r="A18" s="33"/>
      <c r="B18" s="34" t="s">
        <v>24</v>
      </c>
      <c r="C18" s="35"/>
      <c r="D18" s="62">
        <f>SUM(D16:D17)</f>
        <v>4</v>
      </c>
      <c r="E18" s="35"/>
      <c r="F18" s="62">
        <f t="shared" ref="F18:G18" si="4">SUM(F16:F17)</f>
        <v>21400</v>
      </c>
      <c r="G18" s="62">
        <f t="shared" si="4"/>
        <v>3638</v>
      </c>
      <c r="H18" s="35"/>
      <c r="I18" s="62">
        <f>SUM(I16:I17)</f>
        <v>25038</v>
      </c>
      <c r="J18" s="37"/>
    </row>
    <row r="19" spans="1:10" ht="15.75" thickTop="1" x14ac:dyDescent="0.25">
      <c r="A19" s="33"/>
      <c r="B19" s="34" t="s">
        <v>1177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634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1B921FA3-2016-4285-B0F9-502D94782995}"/>
  </hyperlinks>
  <pageMargins left="0.2" right="0.1" top="0.25" bottom="0.25" header="0.3" footer="0.3"/>
  <pageSetup paperSize="9" orientation="portrait" r:id="rId2"/>
  <drawing r:id="rId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B706F-BCAD-4008-BBDF-A3A32FB02004}">
  <dimension ref="A1:J25"/>
  <sheetViews>
    <sheetView workbookViewId="0">
      <selection activeCell="B11" sqref="B1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1165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1171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>
        <v>8800679181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1172</v>
      </c>
      <c r="C16" s="54" t="s">
        <v>23</v>
      </c>
      <c r="D16" s="72">
        <v>100</v>
      </c>
      <c r="E16" s="56">
        <v>320</v>
      </c>
      <c r="F16" s="56">
        <f t="shared" ref="F16" si="0">D16*E16</f>
        <v>32000</v>
      </c>
      <c r="G16" s="56">
        <f>F16*0.17</f>
        <v>5440</v>
      </c>
      <c r="H16" s="84">
        <f>E16*1.17</f>
        <v>374.4</v>
      </c>
      <c r="I16" s="56">
        <f t="shared" ref="I16" si="1">H16*D16</f>
        <v>37440</v>
      </c>
      <c r="J16" s="58"/>
    </row>
    <row r="17" spans="1:10" ht="15.75" thickBot="1" x14ac:dyDescent="0.3">
      <c r="A17" s="33"/>
      <c r="B17" s="34" t="s">
        <v>24</v>
      </c>
      <c r="C17" s="35"/>
      <c r="D17" s="73">
        <f>SUM(D16:D16)</f>
        <v>100</v>
      </c>
      <c r="E17" s="35"/>
      <c r="F17" s="62">
        <f>SUM(F16:F16)</f>
        <v>32000</v>
      </c>
      <c r="G17" s="62">
        <f>SUM(G16:G16)</f>
        <v>5440</v>
      </c>
      <c r="H17" s="35"/>
      <c r="I17" s="62">
        <f>SUM(I16:I16)</f>
        <v>37440</v>
      </c>
      <c r="J17" s="37"/>
    </row>
    <row r="18" spans="1:10" ht="15.75" thickTop="1" x14ac:dyDescent="0.25">
      <c r="A18" s="33"/>
      <c r="B18" s="34" t="s">
        <v>1173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83862B52-C5C7-4A12-BB4E-B5904EC4BA66}"/>
  </hyperlinks>
  <pageMargins left="0.2" right="0.1" top="0.25" bottom="0.25" header="0.3" footer="0.3"/>
  <pageSetup paperSize="9" orientation="portrait" r:id="rId2"/>
  <drawing r:id="rId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5FB3B-FF09-448B-AED4-5DCD0285F07F}">
  <dimension ref="A1:J27"/>
  <sheetViews>
    <sheetView workbookViewId="0"/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1165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1166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>
        <v>8800679190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1167</v>
      </c>
      <c r="C16" s="54" t="s">
        <v>23</v>
      </c>
      <c r="D16" s="72">
        <v>1</v>
      </c>
      <c r="E16" s="56">
        <v>2400</v>
      </c>
      <c r="F16" s="56">
        <f t="shared" ref="F16:F18" si="0">D16*E16</f>
        <v>2400</v>
      </c>
      <c r="G16" s="56">
        <f>F16*0.17</f>
        <v>408.00000000000006</v>
      </c>
      <c r="H16" s="84">
        <f>E16*1.17</f>
        <v>2808</v>
      </c>
      <c r="I16" s="56">
        <f t="shared" ref="I16:I18" si="1">H16*D16</f>
        <v>2808</v>
      </c>
      <c r="J16" s="58"/>
    </row>
    <row r="17" spans="1:10" s="21" customFormat="1" ht="30" x14ac:dyDescent="0.25">
      <c r="A17" s="53">
        <v>2</v>
      </c>
      <c r="B17" s="47" t="s">
        <v>1168</v>
      </c>
      <c r="C17" s="54" t="s">
        <v>23</v>
      </c>
      <c r="D17" s="72">
        <v>1</v>
      </c>
      <c r="E17" s="56">
        <v>3060</v>
      </c>
      <c r="F17" s="56">
        <f t="shared" si="0"/>
        <v>3060</v>
      </c>
      <c r="G17" s="56">
        <f>F17*0.17</f>
        <v>520.20000000000005</v>
      </c>
      <c r="H17" s="84">
        <f>E17*1.17</f>
        <v>3580.2</v>
      </c>
      <c r="I17" s="56">
        <f t="shared" si="1"/>
        <v>3580.2</v>
      </c>
      <c r="J17" s="58"/>
    </row>
    <row r="18" spans="1:10" s="21" customFormat="1" ht="30" x14ac:dyDescent="0.25">
      <c r="A18" s="53">
        <v>3</v>
      </c>
      <c r="B18" s="47" t="s">
        <v>1169</v>
      </c>
      <c r="C18" s="54" t="s">
        <v>23</v>
      </c>
      <c r="D18" s="72">
        <v>1</v>
      </c>
      <c r="E18" s="56">
        <v>3850</v>
      </c>
      <c r="F18" s="56">
        <f t="shared" si="0"/>
        <v>3850</v>
      </c>
      <c r="G18" s="56">
        <f>F18*0.17</f>
        <v>654.5</v>
      </c>
      <c r="H18" s="84">
        <f>E18*1.17</f>
        <v>4504.5</v>
      </c>
      <c r="I18" s="56">
        <f t="shared" si="1"/>
        <v>4504.5</v>
      </c>
      <c r="J18" s="58"/>
    </row>
    <row r="19" spans="1:10" ht="15.75" thickBot="1" x14ac:dyDescent="0.3">
      <c r="A19" s="33"/>
      <c r="B19" s="34" t="s">
        <v>24</v>
      </c>
      <c r="C19" s="35"/>
      <c r="D19" s="73">
        <f>SUM(D16:D18)</f>
        <v>3</v>
      </c>
      <c r="E19" s="35"/>
      <c r="F19" s="62">
        <f>SUM(F16:F18)</f>
        <v>9310</v>
      </c>
      <c r="G19" s="62">
        <f>SUM(G16:G18)</f>
        <v>1582.7</v>
      </c>
      <c r="H19" s="35"/>
      <c r="I19" s="62">
        <f>SUM(I16:I18)</f>
        <v>10892.7</v>
      </c>
      <c r="J19" s="37"/>
    </row>
    <row r="20" spans="1:10" ht="15.75" thickTop="1" x14ac:dyDescent="0.25">
      <c r="A20" s="33"/>
      <c r="B20" s="34" t="s">
        <v>1170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634</v>
      </c>
    </row>
    <row r="26" spans="1:10" x14ac:dyDescent="0.25">
      <c r="B26" t="s">
        <v>28</v>
      </c>
      <c r="H26" t="s">
        <v>28</v>
      </c>
    </row>
    <row r="27" spans="1:10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35642093-CA6C-4586-935B-E8D2FB65671E}"/>
  </hyperlinks>
  <pageMargins left="0.2" right="0.1" top="0.25" bottom="0.25" header="0.3" footer="0.3"/>
  <pageSetup paperSize="9" orientation="portrait" r:id="rId2"/>
  <drawing r:id="rId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A678F-97FD-45AD-9CD5-564D011C1B93}">
  <dimension ref="A1:R26"/>
  <sheetViews>
    <sheetView workbookViewId="0">
      <selection activeCell="B16" sqref="B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1165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1164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601</v>
      </c>
      <c r="D10" s="10"/>
      <c r="E10" s="10"/>
      <c r="F10" s="10"/>
    </row>
    <row r="11" spans="1:14" x14ac:dyDescent="0.25">
      <c r="B11" t="s">
        <v>11</v>
      </c>
      <c r="C11" s="10" t="s">
        <v>875</v>
      </c>
      <c r="D11" s="11"/>
      <c r="E11" s="11"/>
      <c r="F11" s="11"/>
    </row>
    <row r="12" spans="1:14" x14ac:dyDescent="0.25">
      <c r="A12" s="12"/>
      <c r="B12" s="13"/>
      <c r="C12" s="14" t="s">
        <v>1095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4" s="21" customFormat="1" ht="15.75" x14ac:dyDescent="0.25">
      <c r="A16" s="53">
        <v>1</v>
      </c>
      <c r="B16" s="78" t="s">
        <v>676</v>
      </c>
      <c r="C16" s="53" t="s">
        <v>23</v>
      </c>
      <c r="D16" s="53">
        <v>24</v>
      </c>
      <c r="E16" s="56">
        <v>30</v>
      </c>
      <c r="F16" s="56">
        <f t="shared" ref="F16:F17" si="0">D16*E16</f>
        <v>720</v>
      </c>
      <c r="G16" s="56">
        <f>F16*0.17</f>
        <v>122.4</v>
      </c>
      <c r="H16" s="74">
        <f>E16*1.17</f>
        <v>35.099999999999994</v>
      </c>
      <c r="I16" s="56">
        <f>H16*D16</f>
        <v>842.39999999999986</v>
      </c>
      <c r="J16" s="83"/>
      <c r="N16" s="66"/>
    </row>
    <row r="17" spans="1:18" s="21" customFormat="1" x14ac:dyDescent="0.25">
      <c r="A17" s="53"/>
      <c r="B17" s="47"/>
      <c r="C17" s="82"/>
      <c r="D17" s="57"/>
      <c r="E17" s="56"/>
      <c r="F17" s="56">
        <f t="shared" si="0"/>
        <v>0</v>
      </c>
      <c r="G17" s="56">
        <f t="shared" ref="G17" si="1">F17*0.17</f>
        <v>0</v>
      </c>
      <c r="H17" s="57">
        <f t="shared" ref="H17" si="2">E17*1.17</f>
        <v>0</v>
      </c>
      <c r="I17" s="56">
        <f t="shared" ref="I17" si="3">H17*D17</f>
        <v>0</v>
      </c>
      <c r="J17" s="58"/>
      <c r="M17" s="21">
        <f t="shared" ref="M17" si="4">440*1.02</f>
        <v>448.8</v>
      </c>
      <c r="N17" s="66" t="e">
        <f>M17-#REF!</f>
        <v>#REF!</v>
      </c>
      <c r="O17" s="21" t="e">
        <f t="shared" ref="O17" si="5">N17*D17</f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24</v>
      </c>
      <c r="E18" s="35"/>
      <c r="F18" s="62">
        <f>SUM(F16:F17)</f>
        <v>720</v>
      </c>
      <c r="G18" s="62">
        <f>SUM(G16:G17)</f>
        <v>122.4</v>
      </c>
      <c r="H18" s="35"/>
      <c r="I18" s="62">
        <f>SUM(I16:I17)</f>
        <v>842.39999999999986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883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27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32BFE4A8-48B9-4256-BA1A-C56BE69449AD}"/>
  </hyperlinks>
  <pageMargins left="0.2" right="0.1" top="0.25" bottom="0.25" header="0.3" footer="0.3"/>
  <pageSetup paperSize="9" orientation="portrait" r:id="rId2"/>
  <drawing r:id="rId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51AB6-7E58-4732-8326-09040434A7E6}">
  <dimension ref="A1:R31"/>
  <sheetViews>
    <sheetView workbookViewId="0">
      <selection activeCell="A6" sqref="A6:J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1163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1154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1155</v>
      </c>
      <c r="J9" s="188"/>
    </row>
    <row r="10" spans="1:15" x14ac:dyDescent="0.25">
      <c r="B10" t="s">
        <v>9</v>
      </c>
      <c r="C10" s="10" t="s">
        <v>754</v>
      </c>
      <c r="D10" s="10"/>
      <c r="E10" s="10"/>
      <c r="F10" s="10"/>
    </row>
    <row r="11" spans="1:15" x14ac:dyDescent="0.25">
      <c r="B11" t="s">
        <v>11</v>
      </c>
      <c r="C11" s="10" t="s">
        <v>755</v>
      </c>
      <c r="D11" s="11"/>
      <c r="E11" s="11"/>
      <c r="F11" s="11"/>
    </row>
    <row r="12" spans="1:15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25.5" x14ac:dyDescent="0.25">
      <c r="A16" s="53">
        <v>1</v>
      </c>
      <c r="B16" s="78" t="s">
        <v>1156</v>
      </c>
      <c r="C16" s="53" t="s">
        <v>987</v>
      </c>
      <c r="D16" s="79">
        <v>4</v>
      </c>
      <c r="E16" s="56">
        <v>420</v>
      </c>
      <c r="F16" s="56">
        <f>D16*E16</f>
        <v>1680</v>
      </c>
      <c r="G16" s="56">
        <f t="shared" ref="G16:G22" si="0">F16*0.17</f>
        <v>285.60000000000002</v>
      </c>
      <c r="H16" s="74">
        <f t="shared" ref="H16:H22" si="1">E16*1.17</f>
        <v>491.4</v>
      </c>
      <c r="I16" s="56">
        <f>H16*D16</f>
        <v>1965.6</v>
      </c>
      <c r="J16" s="83"/>
      <c r="M16" s="21">
        <f t="shared" ref="M16:M22" si="2">440*1.02</f>
        <v>448.8</v>
      </c>
      <c r="N16" s="66" t="e">
        <f>M16-#REF!</f>
        <v>#REF!</v>
      </c>
      <c r="O16" s="21" t="e">
        <f t="shared" ref="O16:O22" si="3">N16*D16</f>
        <v>#REF!</v>
      </c>
    </row>
    <row r="17" spans="1:18" s="21" customFormat="1" ht="51" x14ac:dyDescent="0.25">
      <c r="A17" s="53">
        <v>2</v>
      </c>
      <c r="B17" s="78" t="s">
        <v>1157</v>
      </c>
      <c r="C17" s="53" t="s">
        <v>987</v>
      </c>
      <c r="D17" s="79">
        <v>4</v>
      </c>
      <c r="E17" s="56">
        <v>135</v>
      </c>
      <c r="F17" s="56">
        <f t="shared" ref="F17" si="4">D17*E17</f>
        <v>540</v>
      </c>
      <c r="G17" s="56">
        <f t="shared" ref="G17" si="5">F17*0.17</f>
        <v>91.800000000000011</v>
      </c>
      <c r="H17" s="74">
        <f t="shared" ref="H17" si="6">E17*1.17</f>
        <v>157.94999999999999</v>
      </c>
      <c r="I17" s="56">
        <f t="shared" ref="I17" si="7">H17*D17</f>
        <v>631.79999999999995</v>
      </c>
      <c r="J17" s="83"/>
      <c r="N17" s="66"/>
    </row>
    <row r="18" spans="1:18" s="21" customFormat="1" ht="38.25" x14ac:dyDescent="0.25">
      <c r="A18" s="53">
        <v>3</v>
      </c>
      <c r="B18" s="78" t="s">
        <v>1158</v>
      </c>
      <c r="C18" s="53" t="s">
        <v>76</v>
      </c>
      <c r="D18" s="79">
        <v>2</v>
      </c>
      <c r="E18" s="56">
        <v>600</v>
      </c>
      <c r="F18" s="56">
        <f t="shared" ref="F18:F19" si="8">D18*E18</f>
        <v>1200</v>
      </c>
      <c r="G18" s="56">
        <f t="shared" si="0"/>
        <v>204.00000000000003</v>
      </c>
      <c r="H18" s="74">
        <f t="shared" si="1"/>
        <v>702</v>
      </c>
      <c r="I18" s="56">
        <f t="shared" ref="I18:I19" si="9">H18*D18</f>
        <v>1404</v>
      </c>
      <c r="J18" s="83"/>
      <c r="N18" s="66"/>
    </row>
    <row r="19" spans="1:18" s="21" customFormat="1" ht="38.25" x14ac:dyDescent="0.25">
      <c r="A19" s="53">
        <v>4</v>
      </c>
      <c r="B19" s="78" t="s">
        <v>1159</v>
      </c>
      <c r="C19" s="53" t="s">
        <v>76</v>
      </c>
      <c r="D19" s="79">
        <v>2</v>
      </c>
      <c r="E19" s="56">
        <v>180</v>
      </c>
      <c r="F19" s="56">
        <f t="shared" si="8"/>
        <v>360</v>
      </c>
      <c r="G19" s="56">
        <f t="shared" ref="G19" si="10">F19*0.17</f>
        <v>61.2</v>
      </c>
      <c r="H19" s="74">
        <f t="shared" ref="H19" si="11">E19*1.17</f>
        <v>210.6</v>
      </c>
      <c r="I19" s="56">
        <f t="shared" si="9"/>
        <v>421.2</v>
      </c>
      <c r="J19" s="83"/>
      <c r="N19" s="66"/>
    </row>
    <row r="20" spans="1:18" s="21" customFormat="1" ht="25.5" x14ac:dyDescent="0.25">
      <c r="A20" s="53">
        <v>5</v>
      </c>
      <c r="B20" s="78" t="s">
        <v>1160</v>
      </c>
      <c r="C20" s="53" t="s">
        <v>192</v>
      </c>
      <c r="D20" s="79">
        <v>4</v>
      </c>
      <c r="E20" s="56">
        <v>320</v>
      </c>
      <c r="F20" s="56">
        <f t="shared" ref="F20" si="12">D20*E20</f>
        <v>1280</v>
      </c>
      <c r="G20" s="56">
        <f t="shared" ref="G20" si="13">F20*0.17</f>
        <v>217.60000000000002</v>
      </c>
      <c r="H20" s="74">
        <f t="shared" ref="H20" si="14">E20*1.17</f>
        <v>374.4</v>
      </c>
      <c r="I20" s="56">
        <f t="shared" ref="I20" si="15">H20*D20</f>
        <v>1497.6</v>
      </c>
      <c r="J20" s="83"/>
      <c r="N20" s="66"/>
    </row>
    <row r="21" spans="1:18" s="21" customFormat="1" ht="15.75" x14ac:dyDescent="0.25">
      <c r="A21" s="53">
        <v>6</v>
      </c>
      <c r="B21" s="78" t="s">
        <v>1161</v>
      </c>
      <c r="C21" s="53" t="s">
        <v>987</v>
      </c>
      <c r="D21" s="79">
        <v>2</v>
      </c>
      <c r="E21" s="56">
        <v>110</v>
      </c>
      <c r="F21" s="56">
        <f t="shared" ref="F21:F22" si="16">D21*E21</f>
        <v>220</v>
      </c>
      <c r="G21" s="56">
        <f t="shared" si="0"/>
        <v>37.400000000000006</v>
      </c>
      <c r="H21" s="74">
        <f t="shared" si="1"/>
        <v>128.69999999999999</v>
      </c>
      <c r="I21" s="56">
        <f t="shared" ref="I21:I22" si="17">H21*D21</f>
        <v>257.39999999999998</v>
      </c>
      <c r="J21" s="83"/>
      <c r="N21" s="66"/>
    </row>
    <row r="22" spans="1:18" s="21" customFormat="1" x14ac:dyDescent="0.25">
      <c r="A22" s="53"/>
      <c r="B22" s="47"/>
      <c r="C22" s="82"/>
      <c r="D22" s="57"/>
      <c r="E22" s="56"/>
      <c r="F22" s="56">
        <f t="shared" si="16"/>
        <v>0</v>
      </c>
      <c r="G22" s="56">
        <f t="shared" si="0"/>
        <v>0</v>
      </c>
      <c r="H22" s="57">
        <f t="shared" si="1"/>
        <v>0</v>
      </c>
      <c r="I22" s="56">
        <f t="shared" si="17"/>
        <v>0</v>
      </c>
      <c r="J22" s="58"/>
      <c r="M22" s="21">
        <f t="shared" si="2"/>
        <v>448.8</v>
      </c>
      <c r="N22" s="66" t="e">
        <f>M22-#REF!</f>
        <v>#REF!</v>
      </c>
      <c r="O22" s="21" t="e">
        <f t="shared" si="3"/>
        <v>#REF!</v>
      </c>
    </row>
    <row r="23" spans="1:18" ht="15.75" thickBot="1" x14ac:dyDescent="0.3">
      <c r="A23" s="33"/>
      <c r="B23" s="34" t="s">
        <v>24</v>
      </c>
      <c r="C23" s="35"/>
      <c r="D23" s="62">
        <f>SUM(D16:D22)</f>
        <v>18</v>
      </c>
      <c r="E23" s="35"/>
      <c r="F23" s="62">
        <f>SUM(F16:F22)</f>
        <v>5280</v>
      </c>
      <c r="G23" s="62">
        <f>SUM(G16:G22)</f>
        <v>897.60000000000014</v>
      </c>
      <c r="H23" s="35"/>
      <c r="I23" s="62">
        <f>SUM(I16:I22)</f>
        <v>6177.5999999999985</v>
      </c>
      <c r="J23" s="37"/>
      <c r="M23" t="e">
        <f>#REF!/117*100</f>
        <v>#REF!</v>
      </c>
      <c r="O23" t="e">
        <f>M23*1.1</f>
        <v>#REF!</v>
      </c>
    </row>
    <row r="24" spans="1:18" ht="15.75" thickTop="1" x14ac:dyDescent="0.25">
      <c r="A24" s="33"/>
      <c r="B24" s="34" t="s">
        <v>1162</v>
      </c>
      <c r="C24" s="35"/>
      <c r="D24" s="35"/>
      <c r="E24" s="35"/>
      <c r="F24" s="35"/>
      <c r="G24" s="35"/>
      <c r="H24" s="35"/>
      <c r="I24" s="35"/>
      <c r="J24" s="37"/>
    </row>
    <row r="25" spans="1:18" x14ac:dyDescent="0.25">
      <c r="A25" s="33"/>
      <c r="B25" s="38" t="s">
        <v>25</v>
      </c>
      <c r="C25" s="35"/>
      <c r="D25" s="35"/>
      <c r="E25" s="35"/>
      <c r="F25" s="35"/>
      <c r="G25" s="35"/>
      <c r="H25" s="35"/>
      <c r="I25" s="35"/>
      <c r="J25" s="37"/>
      <c r="M25" s="64" t="e">
        <f>M23*#REF!</f>
        <v>#REF!</v>
      </c>
      <c r="O25" s="65" t="e">
        <f>#REF!</f>
        <v>#REF!</v>
      </c>
      <c r="P25" s="64" t="e">
        <f>O25-M25</f>
        <v>#REF!</v>
      </c>
      <c r="Q25" s="64" t="e">
        <f>#REF!*0.045</f>
        <v>#REF!</v>
      </c>
      <c r="R25" s="64" t="e">
        <f>P25-Q25</f>
        <v>#REF!</v>
      </c>
    </row>
    <row r="26" spans="1:18" ht="30" customHeight="1" x14ac:dyDescent="0.25">
      <c r="B26" s="183" t="s">
        <v>26</v>
      </c>
      <c r="C26" s="183"/>
      <c r="D26" s="183"/>
      <c r="E26" s="183"/>
      <c r="F26" s="183"/>
      <c r="G26" s="183"/>
      <c r="H26" s="183"/>
      <c r="I26" s="183"/>
      <c r="J26" s="183"/>
      <c r="P26" s="64"/>
      <c r="R26" s="65" t="e">
        <f>#REF!-#REF!</f>
        <v>#REF!</v>
      </c>
    </row>
    <row r="27" spans="1:18" x14ac:dyDescent="0.25">
      <c r="B27" t="s">
        <v>634</v>
      </c>
    </row>
    <row r="30" spans="1:18" x14ac:dyDescent="0.25">
      <c r="B30" t="s">
        <v>28</v>
      </c>
      <c r="H30" t="s">
        <v>28</v>
      </c>
    </row>
    <row r="31" spans="1:18" x14ac:dyDescent="0.25">
      <c r="B31" t="s">
        <v>29</v>
      </c>
      <c r="H31" t="s">
        <v>30</v>
      </c>
    </row>
  </sheetData>
  <autoFilter ref="A15:J27" xr:uid="{00000000-0009-0000-0000-000000000000}"/>
  <mergeCells count="5">
    <mergeCell ref="A6:J6"/>
    <mergeCell ref="I7:J7"/>
    <mergeCell ref="I8:J8"/>
    <mergeCell ref="I9:J9"/>
    <mergeCell ref="B26:J26"/>
  </mergeCells>
  <hyperlinks>
    <hyperlink ref="H5" r:id="rId1" xr:uid="{22541F9A-2E94-4ABA-BACC-0ECD251CEC8B}"/>
  </hyperlinks>
  <pageMargins left="0.2" right="0.1" top="0.25" bottom="0.25" header="0.3" footer="0.3"/>
  <pageSetup paperSize="9" orientation="portrait" r:id="rId2"/>
  <drawing r:id="rId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0E04D-73A1-402D-A599-6A25B77C6EF9}">
  <dimension ref="A1:R31"/>
  <sheetViews>
    <sheetView topLeftCell="A6" workbookViewId="0">
      <selection activeCell="A15" sqref="A1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1139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1145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1141</v>
      </c>
      <c r="J9" s="188"/>
    </row>
    <row r="10" spans="1:15" x14ac:dyDescent="0.25">
      <c r="B10" t="s">
        <v>9</v>
      </c>
      <c r="C10" s="10" t="s">
        <v>1034</v>
      </c>
      <c r="D10" s="10"/>
      <c r="E10" s="10"/>
      <c r="F10" s="10"/>
    </row>
    <row r="11" spans="1:15" x14ac:dyDescent="0.25">
      <c r="B11" t="s">
        <v>11</v>
      </c>
      <c r="C11" s="10" t="s">
        <v>1035</v>
      </c>
      <c r="D11" s="11"/>
      <c r="E11" s="11"/>
      <c r="F11" s="11"/>
    </row>
    <row r="12" spans="1:15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1147</v>
      </c>
      <c r="C16" s="53" t="s">
        <v>23</v>
      </c>
      <c r="D16" s="79">
        <v>36</v>
      </c>
      <c r="E16" s="56">
        <v>40</v>
      </c>
      <c r="F16" s="56">
        <f>D16*E16</f>
        <v>1440</v>
      </c>
      <c r="G16" s="56">
        <f t="shared" ref="G16:G21" si="0">F16*0.17</f>
        <v>244.8</v>
      </c>
      <c r="H16" s="74">
        <f t="shared" ref="H16:H21" si="1">E16*1.17</f>
        <v>46.8</v>
      </c>
      <c r="I16" s="56">
        <f>H16*D16</f>
        <v>1684.8</v>
      </c>
      <c r="J16" s="83"/>
      <c r="M16" s="21">
        <f t="shared" ref="M16:M22" si="2">440*1.02</f>
        <v>448.8</v>
      </c>
      <c r="N16" s="66" t="e">
        <f>M16-#REF!</f>
        <v>#REF!</v>
      </c>
      <c r="O16" s="21" t="e">
        <f t="shared" ref="O16:O22" si="3">N16*D16</f>
        <v>#REF!</v>
      </c>
    </row>
    <row r="17" spans="1:18" s="21" customFormat="1" ht="15.75" x14ac:dyDescent="0.25">
      <c r="A17" s="53">
        <v>2</v>
      </c>
      <c r="B17" s="78" t="s">
        <v>1148</v>
      </c>
      <c r="C17" s="53" t="s">
        <v>23</v>
      </c>
      <c r="D17" s="79">
        <v>300</v>
      </c>
      <c r="E17" s="56">
        <v>7</v>
      </c>
      <c r="F17" s="56">
        <f t="shared" ref="F17" si="4">D17*E17</f>
        <v>2100</v>
      </c>
      <c r="G17" s="56">
        <f t="shared" si="0"/>
        <v>357</v>
      </c>
      <c r="H17" s="74">
        <f t="shared" si="1"/>
        <v>8.19</v>
      </c>
      <c r="I17" s="56">
        <f t="shared" ref="I17" si="5">H17*D17</f>
        <v>2457</v>
      </c>
      <c r="J17" s="83"/>
      <c r="N17" s="66"/>
    </row>
    <row r="18" spans="1:18" s="21" customFormat="1" ht="15.75" x14ac:dyDescent="0.25">
      <c r="A18" s="53">
        <v>3</v>
      </c>
      <c r="B18" s="78" t="s">
        <v>1149</v>
      </c>
      <c r="C18" s="53" t="s">
        <v>23</v>
      </c>
      <c r="D18" s="79">
        <v>12</v>
      </c>
      <c r="E18" s="56">
        <v>20</v>
      </c>
      <c r="F18" s="56">
        <f t="shared" ref="F18:F19" si="6">D18*E18</f>
        <v>240</v>
      </c>
      <c r="G18" s="56">
        <f t="shared" ref="G18:G19" si="7">F18*0.17</f>
        <v>40.800000000000004</v>
      </c>
      <c r="H18" s="74">
        <f t="shared" ref="H18:H19" si="8">E18*1.17</f>
        <v>23.4</v>
      </c>
      <c r="I18" s="56">
        <f t="shared" ref="I18:I19" si="9">H18*D18</f>
        <v>280.79999999999995</v>
      </c>
      <c r="J18" s="83"/>
      <c r="N18" s="66"/>
    </row>
    <row r="19" spans="1:18" s="21" customFormat="1" ht="15.75" x14ac:dyDescent="0.25">
      <c r="A19" s="53">
        <v>4</v>
      </c>
      <c r="B19" s="78" t="s">
        <v>1150</v>
      </c>
      <c r="C19" s="53" t="s">
        <v>23</v>
      </c>
      <c r="D19" s="79">
        <v>288</v>
      </c>
      <c r="E19" s="56">
        <v>26</v>
      </c>
      <c r="F19" s="56">
        <f t="shared" si="6"/>
        <v>7488</v>
      </c>
      <c r="G19" s="56">
        <f t="shared" si="7"/>
        <v>1272.96</v>
      </c>
      <c r="H19" s="74">
        <f t="shared" si="8"/>
        <v>30.419999999999998</v>
      </c>
      <c r="I19" s="56">
        <f t="shared" si="9"/>
        <v>8760.9599999999991</v>
      </c>
      <c r="J19" s="83"/>
      <c r="N19" s="66"/>
    </row>
    <row r="20" spans="1:18" s="21" customFormat="1" ht="15.75" x14ac:dyDescent="0.25">
      <c r="A20" s="53">
        <v>5</v>
      </c>
      <c r="B20" s="78" t="s">
        <v>1151</v>
      </c>
      <c r="C20" s="53" t="s">
        <v>165</v>
      </c>
      <c r="D20" s="79">
        <v>4</v>
      </c>
      <c r="E20" s="56">
        <v>500</v>
      </c>
      <c r="F20" s="56">
        <f t="shared" ref="F20:F21" si="10">D20*E20</f>
        <v>2000</v>
      </c>
      <c r="G20" s="56">
        <f t="shared" si="0"/>
        <v>340</v>
      </c>
      <c r="H20" s="74">
        <f t="shared" si="1"/>
        <v>585</v>
      </c>
      <c r="I20" s="56">
        <f t="shared" ref="I20:I21" si="11">H20*D20</f>
        <v>2340</v>
      </c>
      <c r="J20" s="83"/>
      <c r="N20" s="66"/>
    </row>
    <row r="21" spans="1:18" s="21" customFormat="1" ht="15.75" x14ac:dyDescent="0.25">
      <c r="A21" s="53">
        <v>6</v>
      </c>
      <c r="B21" s="78" t="s">
        <v>1152</v>
      </c>
      <c r="C21" s="53" t="s">
        <v>76</v>
      </c>
      <c r="D21" s="79">
        <v>48</v>
      </c>
      <c r="E21" s="56">
        <v>140</v>
      </c>
      <c r="F21" s="56">
        <f t="shared" si="10"/>
        <v>6720</v>
      </c>
      <c r="G21" s="56">
        <f t="shared" si="0"/>
        <v>1142.4000000000001</v>
      </c>
      <c r="H21" s="74">
        <f t="shared" si="1"/>
        <v>163.79999999999998</v>
      </c>
      <c r="I21" s="56">
        <f t="shared" si="11"/>
        <v>7862.4</v>
      </c>
      <c r="J21" s="83"/>
      <c r="N21" s="66"/>
    </row>
    <row r="22" spans="1:18" s="21" customFormat="1" x14ac:dyDescent="0.25">
      <c r="A22" s="53"/>
      <c r="B22" s="47"/>
      <c r="C22" s="53"/>
      <c r="D22" s="79"/>
      <c r="E22" s="56"/>
      <c r="F22" s="56"/>
      <c r="G22" s="56"/>
      <c r="H22" s="57"/>
      <c r="I22" s="56"/>
      <c r="J22" s="58"/>
      <c r="M22" s="21">
        <f t="shared" si="2"/>
        <v>448.8</v>
      </c>
      <c r="N22" s="66" t="e">
        <f>M22-#REF!</f>
        <v>#REF!</v>
      </c>
      <c r="O22" s="21" t="e">
        <f t="shared" si="3"/>
        <v>#REF!</v>
      </c>
    </row>
    <row r="23" spans="1:18" ht="15.75" thickBot="1" x14ac:dyDescent="0.3">
      <c r="A23" s="33"/>
      <c r="B23" s="34" t="s">
        <v>24</v>
      </c>
      <c r="C23" s="35"/>
      <c r="D23" s="62">
        <f>SUM(D16:D22)</f>
        <v>688</v>
      </c>
      <c r="E23" s="35"/>
      <c r="F23" s="62">
        <f>SUM(F16:F22)</f>
        <v>19988</v>
      </c>
      <c r="G23" s="62">
        <f>SUM(G16:G22)</f>
        <v>3397.96</v>
      </c>
      <c r="H23" s="35"/>
      <c r="I23" s="62">
        <f>SUM(I16:I22)</f>
        <v>23385.96</v>
      </c>
      <c r="J23" s="37"/>
      <c r="M23" t="e">
        <f>#REF!/117*100</f>
        <v>#REF!</v>
      </c>
      <c r="O23" t="e">
        <f>M23*1.1</f>
        <v>#REF!</v>
      </c>
    </row>
    <row r="24" spans="1:18" ht="15.75" thickTop="1" x14ac:dyDescent="0.25">
      <c r="A24" s="33"/>
      <c r="B24" s="34" t="s">
        <v>1153</v>
      </c>
      <c r="C24" s="35"/>
      <c r="D24" s="35"/>
      <c r="E24" s="35"/>
      <c r="F24" s="35"/>
      <c r="G24" s="35"/>
      <c r="H24" s="35"/>
      <c r="I24" s="35"/>
      <c r="J24" s="37"/>
    </row>
    <row r="25" spans="1:18" x14ac:dyDescent="0.25">
      <c r="A25" s="33"/>
      <c r="B25" s="38" t="s">
        <v>25</v>
      </c>
      <c r="C25" s="35"/>
      <c r="D25" s="35"/>
      <c r="E25" s="35"/>
      <c r="F25" s="35"/>
      <c r="G25" s="35"/>
      <c r="H25" s="35"/>
      <c r="I25" s="35"/>
      <c r="J25" s="37"/>
      <c r="M25" s="64" t="e">
        <f>M23*#REF!</f>
        <v>#REF!</v>
      </c>
      <c r="O25" s="65" t="e">
        <f>#REF!</f>
        <v>#REF!</v>
      </c>
      <c r="P25" s="64" t="e">
        <f>O25-M25</f>
        <v>#REF!</v>
      </c>
      <c r="Q25" s="64" t="e">
        <f>#REF!*0.045</f>
        <v>#REF!</v>
      </c>
      <c r="R25" s="64" t="e">
        <f>P25-Q25</f>
        <v>#REF!</v>
      </c>
    </row>
    <row r="26" spans="1:18" ht="30" customHeight="1" x14ac:dyDescent="0.25">
      <c r="B26" s="183" t="s">
        <v>26</v>
      </c>
      <c r="C26" s="183"/>
      <c r="D26" s="183"/>
      <c r="E26" s="183"/>
      <c r="F26" s="183"/>
      <c r="G26" s="183"/>
      <c r="H26" s="183"/>
      <c r="I26" s="183"/>
      <c r="J26" s="183"/>
      <c r="P26" s="64"/>
      <c r="R26" s="65" t="e">
        <f>#REF!-#REF!</f>
        <v>#REF!</v>
      </c>
    </row>
    <row r="27" spans="1:18" x14ac:dyDescent="0.25">
      <c r="B27" t="s">
        <v>634</v>
      </c>
    </row>
    <row r="30" spans="1:18" x14ac:dyDescent="0.25">
      <c r="B30" t="s">
        <v>28</v>
      </c>
      <c r="H30" t="s">
        <v>28</v>
      </c>
    </row>
    <row r="31" spans="1:18" x14ac:dyDescent="0.25">
      <c r="B31" t="s">
        <v>29</v>
      </c>
      <c r="H31" t="s">
        <v>30</v>
      </c>
    </row>
  </sheetData>
  <autoFilter ref="A15:J27" xr:uid="{00000000-0009-0000-0000-000000000000}"/>
  <mergeCells count="5">
    <mergeCell ref="A6:J6"/>
    <mergeCell ref="I7:J7"/>
    <mergeCell ref="I8:J8"/>
    <mergeCell ref="I9:J9"/>
    <mergeCell ref="B26:J26"/>
  </mergeCells>
  <hyperlinks>
    <hyperlink ref="H5" r:id="rId1" xr:uid="{5703EAA9-A8DA-494C-9464-50BC6A1F710F}"/>
  </hyperlinks>
  <pageMargins left="0.2" right="0.1" top="0.25" bottom="0.25" header="0.3" footer="0.3"/>
  <pageSetup paperSize="9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3702A-CC80-41D1-926C-01766271A220}">
  <sheetPr filterMode="1"/>
  <dimension ref="A1:R47"/>
  <sheetViews>
    <sheetView topLeftCell="A6" workbookViewId="0">
      <selection activeCell="F18" sqref="F18:F3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2270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25.5" hidden="1" x14ac:dyDescent="0.25">
      <c r="A16" s="53">
        <v>1</v>
      </c>
      <c r="B16" s="78" t="s">
        <v>1517</v>
      </c>
      <c r="C16" s="53" t="s">
        <v>1506</v>
      </c>
      <c r="D16" s="79">
        <v>1</v>
      </c>
      <c r="E16" s="56">
        <v>250</v>
      </c>
      <c r="F16" s="56">
        <f t="shared" ref="F16:F37" si="0">D16*E16</f>
        <v>250</v>
      </c>
      <c r="G16" s="149">
        <f t="shared" ref="G16:G17" si="1">F16*0.17</f>
        <v>42.5</v>
      </c>
      <c r="H16" s="85">
        <f t="shared" ref="H16:H17" si="2">E16*1.17</f>
        <v>292.5</v>
      </c>
      <c r="I16" s="56">
        <f t="shared" ref="I16:I37" si="3">H16*D16</f>
        <v>292.5</v>
      </c>
      <c r="J16" s="83"/>
      <c r="N16" s="66"/>
    </row>
    <row r="17" spans="1:14" s="21" customFormat="1" ht="15.75" hidden="1" x14ac:dyDescent="0.25">
      <c r="A17" s="53">
        <v>2</v>
      </c>
      <c r="B17" s="78" t="s">
        <v>1487</v>
      </c>
      <c r="C17" s="53" t="s">
        <v>1506</v>
      </c>
      <c r="D17" s="79">
        <v>1</v>
      </c>
      <c r="E17" s="56">
        <v>155</v>
      </c>
      <c r="F17" s="56">
        <f t="shared" si="0"/>
        <v>155</v>
      </c>
      <c r="G17" s="149">
        <f t="shared" si="1"/>
        <v>26.35</v>
      </c>
      <c r="H17" s="85">
        <f t="shared" si="2"/>
        <v>181.35</v>
      </c>
      <c r="I17" s="56">
        <f t="shared" si="3"/>
        <v>181.35</v>
      </c>
      <c r="J17" s="83"/>
      <c r="N17" s="66"/>
    </row>
    <row r="18" spans="1:14" s="21" customFormat="1" ht="25.5" x14ac:dyDescent="0.25">
      <c r="A18" s="53">
        <v>3</v>
      </c>
      <c r="B18" s="78" t="s">
        <v>1513</v>
      </c>
      <c r="C18" s="53" t="s">
        <v>1505</v>
      </c>
      <c r="D18" s="79">
        <v>1</v>
      </c>
      <c r="E18" s="56">
        <v>75</v>
      </c>
      <c r="F18" s="56">
        <f t="shared" si="0"/>
        <v>75</v>
      </c>
      <c r="G18" s="149">
        <f>F18*0</f>
        <v>0</v>
      </c>
      <c r="H18" s="85">
        <f>E18*1</f>
        <v>75</v>
      </c>
      <c r="I18" s="56">
        <f t="shared" si="3"/>
        <v>75</v>
      </c>
      <c r="J18" s="83"/>
      <c r="N18" s="66"/>
    </row>
    <row r="19" spans="1:14" s="21" customFormat="1" ht="15.75" hidden="1" x14ac:dyDescent="0.25">
      <c r="A19" s="53">
        <v>4</v>
      </c>
      <c r="B19" s="78" t="s">
        <v>1527</v>
      </c>
      <c r="C19" s="53" t="s">
        <v>23</v>
      </c>
      <c r="D19" s="79">
        <v>5</v>
      </c>
      <c r="E19" s="56">
        <v>28</v>
      </c>
      <c r="F19" s="56">
        <f t="shared" si="0"/>
        <v>140</v>
      </c>
      <c r="G19" s="149">
        <f t="shared" ref="G19:G35" si="4">F19*0.17</f>
        <v>23.8</v>
      </c>
      <c r="H19" s="85">
        <f t="shared" ref="H19:H35" si="5">E19*1.17</f>
        <v>32.76</v>
      </c>
      <c r="I19" s="56">
        <f t="shared" si="3"/>
        <v>163.79999999999998</v>
      </c>
      <c r="J19" s="83"/>
      <c r="N19" s="66"/>
    </row>
    <row r="20" spans="1:14" s="21" customFormat="1" ht="15.75" x14ac:dyDescent="0.25">
      <c r="A20" s="53">
        <v>5</v>
      </c>
      <c r="B20" s="78" t="s">
        <v>1529</v>
      </c>
      <c r="C20" s="53" t="s">
        <v>23</v>
      </c>
      <c r="D20" s="79">
        <v>1</v>
      </c>
      <c r="E20" s="56">
        <v>28</v>
      </c>
      <c r="F20" s="56">
        <f t="shared" si="0"/>
        <v>28</v>
      </c>
      <c r="G20" s="149">
        <f>F20*0</f>
        <v>0</v>
      </c>
      <c r="H20" s="85">
        <f>E20*1</f>
        <v>28</v>
      </c>
      <c r="I20" s="56">
        <f t="shared" si="3"/>
        <v>28</v>
      </c>
      <c r="J20" s="83"/>
      <c r="N20" s="66"/>
    </row>
    <row r="21" spans="1:14" s="21" customFormat="1" ht="15.75" hidden="1" x14ac:dyDescent="0.25">
      <c r="A21" s="53">
        <v>6</v>
      </c>
      <c r="B21" s="78" t="s">
        <v>1493</v>
      </c>
      <c r="C21" s="53" t="s">
        <v>1506</v>
      </c>
      <c r="D21" s="79">
        <v>1</v>
      </c>
      <c r="E21" s="56">
        <v>180</v>
      </c>
      <c r="F21" s="56">
        <f t="shared" si="0"/>
        <v>180</v>
      </c>
      <c r="G21" s="149">
        <f t="shared" si="4"/>
        <v>30.6</v>
      </c>
      <c r="H21" s="85">
        <f t="shared" si="5"/>
        <v>210.6</v>
      </c>
      <c r="I21" s="56">
        <f t="shared" si="3"/>
        <v>210.6</v>
      </c>
      <c r="J21" s="83"/>
      <c r="N21" s="66"/>
    </row>
    <row r="22" spans="1:14" s="21" customFormat="1" ht="15.75" x14ac:dyDescent="0.25">
      <c r="A22" s="53">
        <v>7</v>
      </c>
      <c r="B22" s="78" t="s">
        <v>1501</v>
      </c>
      <c r="C22" s="53" t="s">
        <v>1506</v>
      </c>
      <c r="D22" s="79">
        <v>3</v>
      </c>
      <c r="E22" s="56">
        <v>28</v>
      </c>
      <c r="F22" s="56">
        <f t="shared" si="0"/>
        <v>84</v>
      </c>
      <c r="G22" s="149">
        <f>F22*0</f>
        <v>0</v>
      </c>
      <c r="H22" s="85">
        <f>E22*1</f>
        <v>28</v>
      </c>
      <c r="I22" s="56">
        <f t="shared" si="3"/>
        <v>84</v>
      </c>
      <c r="J22" s="83"/>
      <c r="N22" s="66"/>
    </row>
    <row r="23" spans="1:14" s="21" customFormat="1" ht="25.5" hidden="1" x14ac:dyDescent="0.25">
      <c r="A23" s="53">
        <v>8</v>
      </c>
      <c r="B23" s="78" t="s">
        <v>1518</v>
      </c>
      <c r="C23" s="53" t="s">
        <v>1505</v>
      </c>
      <c r="D23" s="79">
        <v>1</v>
      </c>
      <c r="E23" s="56">
        <v>25</v>
      </c>
      <c r="F23" s="56">
        <f t="shared" si="0"/>
        <v>25</v>
      </c>
      <c r="G23" s="149">
        <f t="shared" si="4"/>
        <v>4.25</v>
      </c>
      <c r="H23" s="85">
        <f t="shared" si="5"/>
        <v>29.25</v>
      </c>
      <c r="I23" s="56">
        <f t="shared" si="3"/>
        <v>29.25</v>
      </c>
      <c r="J23" s="83"/>
      <c r="N23" s="66"/>
    </row>
    <row r="24" spans="1:14" s="21" customFormat="1" ht="15.75" hidden="1" x14ac:dyDescent="0.25">
      <c r="A24" s="53">
        <v>9</v>
      </c>
      <c r="B24" s="78" t="s">
        <v>1494</v>
      </c>
      <c r="C24" s="53" t="s">
        <v>1506</v>
      </c>
      <c r="D24" s="79">
        <v>1</v>
      </c>
      <c r="E24" s="56">
        <v>25</v>
      </c>
      <c r="F24" s="56">
        <f t="shared" si="0"/>
        <v>25</v>
      </c>
      <c r="G24" s="149">
        <f t="shared" si="4"/>
        <v>4.25</v>
      </c>
      <c r="H24" s="85">
        <f t="shared" si="5"/>
        <v>29.25</v>
      </c>
      <c r="I24" s="56">
        <f t="shared" si="3"/>
        <v>29.25</v>
      </c>
      <c r="J24" s="83"/>
      <c r="N24" s="66"/>
    </row>
    <row r="25" spans="1:14" s="21" customFormat="1" ht="15.75" hidden="1" x14ac:dyDescent="0.25">
      <c r="A25" s="53">
        <v>10</v>
      </c>
      <c r="B25" s="78" t="s">
        <v>1495</v>
      </c>
      <c r="C25" s="53" t="s">
        <v>1506</v>
      </c>
      <c r="D25" s="79">
        <v>2</v>
      </c>
      <c r="E25" s="56">
        <v>110</v>
      </c>
      <c r="F25" s="56">
        <f t="shared" si="0"/>
        <v>220</v>
      </c>
      <c r="G25" s="149">
        <f t="shared" si="4"/>
        <v>37.400000000000006</v>
      </c>
      <c r="H25" s="85">
        <f t="shared" si="5"/>
        <v>128.69999999999999</v>
      </c>
      <c r="I25" s="56">
        <f t="shared" si="3"/>
        <v>257.39999999999998</v>
      </c>
      <c r="J25" s="83"/>
      <c r="N25" s="66"/>
    </row>
    <row r="26" spans="1:14" s="21" customFormat="1" ht="15.75" x14ac:dyDescent="0.25">
      <c r="A26" s="53">
        <v>11</v>
      </c>
      <c r="B26" s="78" t="s">
        <v>1502</v>
      </c>
      <c r="C26" s="53" t="s">
        <v>1506</v>
      </c>
      <c r="D26" s="79">
        <v>1</v>
      </c>
      <c r="E26" s="56">
        <v>7</v>
      </c>
      <c r="F26" s="56">
        <f t="shared" si="0"/>
        <v>7</v>
      </c>
      <c r="G26" s="149">
        <f>F26*0</f>
        <v>0</v>
      </c>
      <c r="H26" s="85">
        <f>E26*1</f>
        <v>7</v>
      </c>
      <c r="I26" s="56">
        <f t="shared" si="3"/>
        <v>7</v>
      </c>
      <c r="J26" s="83"/>
      <c r="N26" s="66"/>
    </row>
    <row r="27" spans="1:14" s="21" customFormat="1" ht="15.75" hidden="1" x14ac:dyDescent="0.25">
      <c r="A27" s="53">
        <v>12</v>
      </c>
      <c r="B27" s="78" t="s">
        <v>1948</v>
      </c>
      <c r="C27" s="53" t="s">
        <v>1506</v>
      </c>
      <c r="D27" s="79">
        <v>2</v>
      </c>
      <c r="E27" s="56">
        <v>38</v>
      </c>
      <c r="F27" s="56">
        <f t="shared" si="0"/>
        <v>76</v>
      </c>
      <c r="G27" s="149">
        <f t="shared" si="4"/>
        <v>12.920000000000002</v>
      </c>
      <c r="H27" s="85">
        <f t="shared" si="5"/>
        <v>44.459999999999994</v>
      </c>
      <c r="I27" s="56">
        <f t="shared" si="3"/>
        <v>88.919999999999987</v>
      </c>
      <c r="J27" s="83"/>
      <c r="N27" s="66"/>
    </row>
    <row r="28" spans="1:14" s="21" customFormat="1" ht="15.75" hidden="1" x14ac:dyDescent="0.25">
      <c r="A28" s="53">
        <v>13</v>
      </c>
      <c r="B28" s="78" t="s">
        <v>1536</v>
      </c>
      <c r="C28" s="53" t="s">
        <v>1506</v>
      </c>
      <c r="D28" s="79">
        <v>2</v>
      </c>
      <c r="E28" s="56">
        <v>25</v>
      </c>
      <c r="F28" s="56">
        <f t="shared" si="0"/>
        <v>50</v>
      </c>
      <c r="G28" s="149">
        <f t="shared" si="4"/>
        <v>8.5</v>
      </c>
      <c r="H28" s="85">
        <f t="shared" si="5"/>
        <v>29.25</v>
      </c>
      <c r="I28" s="56">
        <f t="shared" si="3"/>
        <v>58.5</v>
      </c>
      <c r="J28" s="83"/>
      <c r="N28" s="66"/>
    </row>
    <row r="29" spans="1:14" s="21" customFormat="1" ht="15.75" hidden="1" x14ac:dyDescent="0.25">
      <c r="A29" s="53">
        <v>14</v>
      </c>
      <c r="B29" s="78" t="s">
        <v>1544</v>
      </c>
      <c r="C29" s="53" t="s">
        <v>1506</v>
      </c>
      <c r="D29" s="79">
        <v>1</v>
      </c>
      <c r="E29" s="56">
        <v>100</v>
      </c>
      <c r="F29" s="56">
        <f t="shared" si="0"/>
        <v>100</v>
      </c>
      <c r="G29" s="149">
        <f t="shared" si="4"/>
        <v>17</v>
      </c>
      <c r="H29" s="85">
        <f t="shared" si="5"/>
        <v>117</v>
      </c>
      <c r="I29" s="56">
        <f t="shared" si="3"/>
        <v>117</v>
      </c>
      <c r="J29" s="83"/>
      <c r="N29" s="66"/>
    </row>
    <row r="30" spans="1:14" s="21" customFormat="1" ht="15.75" hidden="1" x14ac:dyDescent="0.25">
      <c r="A30" s="53">
        <v>15</v>
      </c>
      <c r="B30" s="78" t="s">
        <v>1504</v>
      </c>
      <c r="C30" s="53" t="s">
        <v>1506</v>
      </c>
      <c r="D30" s="79">
        <v>1</v>
      </c>
      <c r="E30" s="56">
        <v>20</v>
      </c>
      <c r="F30" s="56">
        <f t="shared" si="0"/>
        <v>20</v>
      </c>
      <c r="G30" s="149">
        <f t="shared" si="4"/>
        <v>3.4000000000000004</v>
      </c>
      <c r="H30" s="85">
        <f t="shared" si="5"/>
        <v>23.4</v>
      </c>
      <c r="I30" s="56">
        <f t="shared" si="3"/>
        <v>23.4</v>
      </c>
      <c r="J30" s="83"/>
      <c r="N30" s="66"/>
    </row>
    <row r="31" spans="1:14" s="21" customFormat="1" ht="25.5" hidden="1" x14ac:dyDescent="0.25">
      <c r="A31" s="53">
        <v>16</v>
      </c>
      <c r="B31" s="78" t="s">
        <v>1539</v>
      </c>
      <c r="C31" s="53" t="s">
        <v>1506</v>
      </c>
      <c r="D31" s="79">
        <v>1</v>
      </c>
      <c r="E31" s="56">
        <v>125</v>
      </c>
      <c r="F31" s="56">
        <f t="shared" si="0"/>
        <v>125</v>
      </c>
      <c r="G31" s="149">
        <f t="shared" si="4"/>
        <v>21.25</v>
      </c>
      <c r="H31" s="85">
        <f t="shared" si="5"/>
        <v>146.25</v>
      </c>
      <c r="I31" s="56">
        <f t="shared" si="3"/>
        <v>146.25</v>
      </c>
      <c r="J31" s="83"/>
      <c r="N31" s="66"/>
    </row>
    <row r="32" spans="1:14" s="21" customFormat="1" ht="15.75" x14ac:dyDescent="0.25">
      <c r="A32" s="53">
        <v>17</v>
      </c>
      <c r="B32" s="78" t="s">
        <v>2242</v>
      </c>
      <c r="C32" s="53" t="s">
        <v>23</v>
      </c>
      <c r="D32" s="79">
        <v>1</v>
      </c>
      <c r="E32" s="56">
        <v>115</v>
      </c>
      <c r="F32" s="56">
        <f t="shared" si="0"/>
        <v>115</v>
      </c>
      <c r="G32" s="149">
        <f>F32*0</f>
        <v>0</v>
      </c>
      <c r="H32" s="85">
        <f>E32*1</f>
        <v>115</v>
      </c>
      <c r="I32" s="56">
        <f t="shared" si="3"/>
        <v>115</v>
      </c>
      <c r="J32" s="83"/>
      <c r="N32" s="66"/>
    </row>
    <row r="33" spans="1:18" s="21" customFormat="1" ht="15.75" hidden="1" x14ac:dyDescent="0.25">
      <c r="A33" s="53">
        <v>18</v>
      </c>
      <c r="B33" s="78" t="s">
        <v>1950</v>
      </c>
      <c r="C33" s="53" t="s">
        <v>23</v>
      </c>
      <c r="D33" s="79">
        <v>2</v>
      </c>
      <c r="E33" s="56">
        <v>110</v>
      </c>
      <c r="F33" s="56">
        <f t="shared" si="0"/>
        <v>220</v>
      </c>
      <c r="G33" s="149">
        <f t="shared" si="4"/>
        <v>37.400000000000006</v>
      </c>
      <c r="H33" s="85">
        <f t="shared" si="5"/>
        <v>128.69999999999999</v>
      </c>
      <c r="I33" s="56">
        <f t="shared" si="3"/>
        <v>257.39999999999998</v>
      </c>
      <c r="J33" s="83"/>
      <c r="N33" s="66"/>
    </row>
    <row r="34" spans="1:18" s="21" customFormat="1" ht="15.75" hidden="1" x14ac:dyDescent="0.25">
      <c r="A34" s="53">
        <v>19</v>
      </c>
      <c r="B34" s="78" t="s">
        <v>2246</v>
      </c>
      <c r="C34" s="53" t="s">
        <v>23</v>
      </c>
      <c r="D34" s="79">
        <v>1</v>
      </c>
      <c r="E34" s="56">
        <v>160</v>
      </c>
      <c r="F34" s="56">
        <f t="shared" si="0"/>
        <v>160</v>
      </c>
      <c r="G34" s="149">
        <f t="shared" si="4"/>
        <v>27.200000000000003</v>
      </c>
      <c r="H34" s="85">
        <f t="shared" si="5"/>
        <v>187.2</v>
      </c>
      <c r="I34" s="56">
        <f t="shared" si="3"/>
        <v>187.2</v>
      </c>
      <c r="J34" s="83"/>
      <c r="N34" s="66"/>
    </row>
    <row r="35" spans="1:18" s="21" customFormat="1" ht="15.75" hidden="1" x14ac:dyDescent="0.25">
      <c r="A35" s="53">
        <v>20</v>
      </c>
      <c r="B35" s="78" t="s">
        <v>2248</v>
      </c>
      <c r="C35" s="53" t="s">
        <v>23</v>
      </c>
      <c r="D35" s="79">
        <v>1</v>
      </c>
      <c r="E35" s="56">
        <v>210</v>
      </c>
      <c r="F35" s="56">
        <f t="shared" si="0"/>
        <v>210</v>
      </c>
      <c r="G35" s="149">
        <f t="shared" si="4"/>
        <v>35.700000000000003</v>
      </c>
      <c r="H35" s="85">
        <f t="shared" si="5"/>
        <v>245.7</v>
      </c>
      <c r="I35" s="56">
        <f t="shared" si="3"/>
        <v>245.7</v>
      </c>
      <c r="J35" s="83"/>
      <c r="N35" s="66"/>
    </row>
    <row r="36" spans="1:18" s="21" customFormat="1" ht="15.75" x14ac:dyDescent="0.25">
      <c r="A36" s="53">
        <v>21</v>
      </c>
      <c r="B36" s="78" t="s">
        <v>2249</v>
      </c>
      <c r="C36" s="53" t="s">
        <v>23</v>
      </c>
      <c r="D36" s="79">
        <v>1</v>
      </c>
      <c r="E36" s="56">
        <v>8</v>
      </c>
      <c r="F36" s="56">
        <f t="shared" si="0"/>
        <v>8</v>
      </c>
      <c r="G36" s="149">
        <f t="shared" ref="G36:G37" si="6">F36*0</f>
        <v>0</v>
      </c>
      <c r="H36" s="85">
        <f t="shared" ref="H36:H37" si="7">E36*1</f>
        <v>8</v>
      </c>
      <c r="I36" s="56">
        <f t="shared" si="3"/>
        <v>8</v>
      </c>
      <c r="J36" s="83"/>
      <c r="N36" s="66"/>
    </row>
    <row r="37" spans="1:18" s="21" customFormat="1" ht="15.75" x14ac:dyDescent="0.25">
      <c r="A37" s="53">
        <v>22</v>
      </c>
      <c r="B37" s="78" t="s">
        <v>2243</v>
      </c>
      <c r="C37" s="53" t="s">
        <v>23</v>
      </c>
      <c r="D37" s="79">
        <v>1</v>
      </c>
      <c r="E37" s="56">
        <v>65</v>
      </c>
      <c r="F37" s="56">
        <f t="shared" si="0"/>
        <v>65</v>
      </c>
      <c r="G37" s="149">
        <f t="shared" si="6"/>
        <v>0</v>
      </c>
      <c r="H37" s="85">
        <f t="shared" si="7"/>
        <v>65</v>
      </c>
      <c r="I37" s="56">
        <f t="shared" si="3"/>
        <v>65</v>
      </c>
      <c r="J37" s="83"/>
      <c r="N37" s="66"/>
    </row>
    <row r="38" spans="1:18" s="21" customFormat="1" ht="15.75" hidden="1" x14ac:dyDescent="0.25">
      <c r="A38" s="53"/>
      <c r="B38" s="78"/>
      <c r="C38" s="53"/>
      <c r="D38" s="79"/>
      <c r="E38" s="56"/>
      <c r="F38" s="56"/>
      <c r="G38" s="149"/>
      <c r="H38" s="85"/>
      <c r="I38" s="56"/>
      <c r="J38" s="83"/>
      <c r="N38" s="66"/>
    </row>
    <row r="39" spans="1:18" ht="15.75" hidden="1" thickBot="1" x14ac:dyDescent="0.3">
      <c r="A39" s="33"/>
      <c r="B39" s="34" t="s">
        <v>24</v>
      </c>
      <c r="C39" s="35"/>
      <c r="D39" s="62">
        <f>SUM(D16:D38)</f>
        <v>32</v>
      </c>
      <c r="E39" s="35"/>
      <c r="F39" s="62">
        <f>SUM(F16:F38)</f>
        <v>2338</v>
      </c>
      <c r="G39" s="62">
        <f>SUM(G16:G38)</f>
        <v>332.52</v>
      </c>
      <c r="H39" s="35"/>
      <c r="I39" s="62">
        <f>SUM(I16:I38)</f>
        <v>2670.52</v>
      </c>
      <c r="J39" s="37"/>
    </row>
    <row r="40" spans="1:18" hidden="1" x14ac:dyDescent="0.25">
      <c r="A40" s="33"/>
      <c r="B40" s="34" t="s">
        <v>2271</v>
      </c>
      <c r="C40" s="35"/>
      <c r="D40" s="35"/>
      <c r="E40" s="35"/>
      <c r="F40" s="35"/>
      <c r="G40" s="35"/>
      <c r="H40" s="35"/>
      <c r="I40" s="35"/>
      <c r="J40" s="37"/>
    </row>
    <row r="41" spans="1:18" hidden="1" x14ac:dyDescent="0.25">
      <c r="A41" s="33"/>
      <c r="B41" s="38" t="s">
        <v>25</v>
      </c>
      <c r="C41" s="35"/>
      <c r="D41" s="35"/>
      <c r="E41" s="35"/>
      <c r="F41" s="35"/>
      <c r="G41" s="35"/>
      <c r="H41" s="35"/>
      <c r="I41" s="35"/>
      <c r="J41" s="37"/>
      <c r="M41" s="64"/>
      <c r="O41" s="65"/>
      <c r="P41" s="64"/>
      <c r="Q41" s="64"/>
      <c r="R41" s="64"/>
    </row>
    <row r="42" spans="1:18" ht="30" hidden="1" customHeight="1" x14ac:dyDescent="0.25">
      <c r="B42" s="183" t="s">
        <v>26</v>
      </c>
      <c r="C42" s="183"/>
      <c r="D42" s="183"/>
      <c r="E42" s="183"/>
      <c r="F42" s="183"/>
      <c r="G42" s="183"/>
      <c r="H42" s="183"/>
      <c r="I42" s="183"/>
      <c r="J42" s="183"/>
      <c r="P42" s="64"/>
      <c r="R42" s="65"/>
    </row>
    <row r="43" spans="1:18" hidden="1" x14ac:dyDescent="0.25">
      <c r="B43" t="s">
        <v>634</v>
      </c>
    </row>
    <row r="46" spans="1:18" x14ac:dyDescent="0.25">
      <c r="B46" t="s">
        <v>28</v>
      </c>
      <c r="H46" t="s">
        <v>28</v>
      </c>
    </row>
    <row r="47" spans="1:18" x14ac:dyDescent="0.25">
      <c r="B47" t="s">
        <v>29</v>
      </c>
      <c r="H47" t="s">
        <v>30</v>
      </c>
    </row>
  </sheetData>
  <autoFilter ref="A15:J43" xr:uid="{00000000-0009-0000-0000-000000000000}">
    <filterColumn colId="6">
      <filters>
        <filter val="-"/>
      </filters>
    </filterColumn>
  </autoFilter>
  <mergeCells count="5">
    <mergeCell ref="A6:J6"/>
    <mergeCell ref="I7:J7"/>
    <mergeCell ref="I8:J8"/>
    <mergeCell ref="I9:J9"/>
    <mergeCell ref="B42:J42"/>
  </mergeCells>
  <hyperlinks>
    <hyperlink ref="H5" r:id="rId1" xr:uid="{F77303AE-8253-4D3A-B84C-91EA01BA0F1C}"/>
  </hyperlinks>
  <pageMargins left="0.2" right="0.1" top="0.25" bottom="0.25" header="0.3" footer="0.3"/>
  <pageSetup paperSize="9" orientation="portrait" r:id="rId2"/>
  <drawing r:id="rId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4826D-1843-4261-A65E-D5F6C558ACC3}">
  <dimension ref="A1:R28"/>
  <sheetViews>
    <sheetView topLeftCell="A6" workbookViewId="0">
      <selection activeCell="E9" sqref="E9"/>
    </sheetView>
  </sheetViews>
  <sheetFormatPr defaultRowHeight="15" x14ac:dyDescent="0.25"/>
  <cols>
    <col min="1" max="1" width="3.7109375" style="86" customWidth="1"/>
    <col min="2" max="2" width="25.7109375" style="86" customWidth="1"/>
    <col min="3" max="3" width="7.42578125" style="86" customWidth="1"/>
    <col min="4" max="4" width="6.7109375" style="86" customWidth="1"/>
    <col min="5" max="5" width="8.7109375" style="86" customWidth="1"/>
    <col min="6" max="6" width="8.28515625" style="86" customWidth="1"/>
    <col min="7" max="7" width="8.7109375" style="86" customWidth="1"/>
    <col min="8" max="9" width="8.28515625" style="86" customWidth="1"/>
    <col min="10" max="10" width="12.7109375" style="86" customWidth="1"/>
    <col min="11" max="12" width="9.140625" style="86"/>
    <col min="13" max="13" width="10.5703125" style="86" bestFit="1" customWidth="1"/>
    <col min="14" max="14" width="11.28515625" style="86" bestFit="1" customWidth="1"/>
    <col min="15" max="15" width="9.140625" style="86"/>
    <col min="16" max="18" width="9.5703125" style="86" bestFit="1" customWidth="1"/>
    <col min="19" max="16384" width="9.140625" style="86"/>
  </cols>
  <sheetData>
    <row r="1" spans="1:15" x14ac:dyDescent="0.25">
      <c r="D1" s="102"/>
      <c r="E1" s="102"/>
      <c r="F1" s="102"/>
      <c r="H1" s="102" t="s">
        <v>0</v>
      </c>
    </row>
    <row r="2" spans="1:15" x14ac:dyDescent="0.25">
      <c r="D2" s="103"/>
      <c r="E2" s="103"/>
      <c r="F2" s="103"/>
      <c r="H2" s="103" t="s">
        <v>1</v>
      </c>
    </row>
    <row r="3" spans="1:15" x14ac:dyDescent="0.25">
      <c r="D3" s="103"/>
      <c r="E3" s="103"/>
      <c r="F3" s="103"/>
      <c r="H3" s="103" t="s">
        <v>2</v>
      </c>
    </row>
    <row r="4" spans="1:15" x14ac:dyDescent="0.25">
      <c r="D4" s="103"/>
      <c r="E4" s="103"/>
      <c r="F4" s="103"/>
      <c r="H4" s="103" t="s">
        <v>31</v>
      </c>
    </row>
    <row r="5" spans="1:15" ht="21" x14ac:dyDescent="0.35">
      <c r="B5" s="104"/>
      <c r="D5" s="105"/>
      <c r="E5" s="106"/>
      <c r="F5" s="106"/>
      <c r="H5" s="107" t="s">
        <v>32</v>
      </c>
    </row>
    <row r="6" spans="1:15" ht="21" x14ac:dyDescent="0.35">
      <c r="A6" s="194" t="s">
        <v>3</v>
      </c>
      <c r="B6" s="195"/>
      <c r="C6" s="195"/>
      <c r="D6" s="195"/>
      <c r="E6" s="195"/>
      <c r="F6" s="195"/>
      <c r="G6" s="195"/>
      <c r="H6" s="195"/>
      <c r="I6" s="195"/>
      <c r="J6" s="195"/>
    </row>
    <row r="7" spans="1:15" x14ac:dyDescent="0.25">
      <c r="A7" s="108" t="s">
        <v>1139</v>
      </c>
      <c r="B7" s="108"/>
      <c r="C7" s="108"/>
      <c r="D7" s="109"/>
      <c r="E7" s="109"/>
      <c r="F7" s="109"/>
      <c r="G7" s="109"/>
      <c r="H7" s="109" t="s">
        <v>4</v>
      </c>
      <c r="I7" s="196" t="s">
        <v>5</v>
      </c>
      <c r="J7" s="196"/>
    </row>
    <row r="8" spans="1:15" x14ac:dyDescent="0.25">
      <c r="A8" s="110" t="s">
        <v>1140</v>
      </c>
      <c r="B8" s="108"/>
      <c r="C8" s="108"/>
      <c r="D8" s="109"/>
      <c r="E8" s="109"/>
      <c r="F8" s="109"/>
      <c r="G8" s="109"/>
      <c r="H8" s="109" t="s">
        <v>6</v>
      </c>
      <c r="I8" s="197" t="s">
        <v>7</v>
      </c>
      <c r="J8" s="197"/>
    </row>
    <row r="9" spans="1:15" x14ac:dyDescent="0.25">
      <c r="A9" s="108"/>
      <c r="B9" s="108"/>
      <c r="C9" s="108"/>
      <c r="D9" s="109"/>
      <c r="E9" s="109"/>
      <c r="F9" s="109"/>
      <c r="G9" s="109"/>
      <c r="H9" s="109" t="s">
        <v>8</v>
      </c>
      <c r="I9" s="198" t="s">
        <v>1146</v>
      </c>
      <c r="J9" s="198"/>
    </row>
    <row r="10" spans="1:15" x14ac:dyDescent="0.25">
      <c r="B10" s="86" t="s">
        <v>9</v>
      </c>
      <c r="C10" s="87" t="s">
        <v>1034</v>
      </c>
      <c r="D10" s="87"/>
      <c r="E10" s="87"/>
      <c r="F10" s="87"/>
    </row>
    <row r="11" spans="1:15" x14ac:dyDescent="0.25">
      <c r="B11" s="86" t="s">
        <v>11</v>
      </c>
      <c r="C11" s="87" t="s">
        <v>1035</v>
      </c>
      <c r="D11" s="88"/>
      <c r="E11" s="88"/>
      <c r="F11" s="88"/>
    </row>
    <row r="12" spans="1:15" x14ac:dyDescent="0.25">
      <c r="A12" s="89"/>
      <c r="B12" s="90"/>
      <c r="C12" s="91" t="s">
        <v>52</v>
      </c>
      <c r="D12" s="92"/>
      <c r="E12" s="92"/>
      <c r="F12" s="92"/>
      <c r="G12" s="93"/>
      <c r="H12" s="93"/>
      <c r="I12" s="93"/>
    </row>
    <row r="13" spans="1:15" x14ac:dyDescent="0.25">
      <c r="A13" s="89"/>
      <c r="B13" s="90"/>
      <c r="C13" s="91" t="s">
        <v>1036</v>
      </c>
      <c r="D13" s="92"/>
      <c r="E13" s="92"/>
      <c r="F13" s="92"/>
      <c r="G13" s="93"/>
      <c r="H13" s="93"/>
      <c r="I13" s="93"/>
    </row>
    <row r="14" spans="1:15" ht="5.0999999999999996" customHeight="1" x14ac:dyDescent="0.25">
      <c r="C14" s="94"/>
    </row>
    <row r="15" spans="1:15" s="111" customFormat="1" ht="45" customHeight="1" x14ac:dyDescent="0.25">
      <c r="A15" s="95" t="s">
        <v>13</v>
      </c>
      <c r="B15" s="96" t="s">
        <v>14</v>
      </c>
      <c r="C15" s="95" t="s">
        <v>15</v>
      </c>
      <c r="D15" s="95" t="s">
        <v>16</v>
      </c>
      <c r="E15" s="95" t="s">
        <v>17</v>
      </c>
      <c r="F15" s="95" t="s">
        <v>18</v>
      </c>
      <c r="G15" s="95" t="s">
        <v>1083</v>
      </c>
      <c r="H15" s="95" t="s">
        <v>20</v>
      </c>
      <c r="I15" s="95" t="s">
        <v>21</v>
      </c>
      <c r="J15" s="96" t="s">
        <v>22</v>
      </c>
      <c r="M15" s="111" t="s">
        <v>738</v>
      </c>
    </row>
    <row r="16" spans="1:15" s="111" customFormat="1" ht="15.75" x14ac:dyDescent="0.25">
      <c r="A16" s="97">
        <v>1</v>
      </c>
      <c r="B16" s="98" t="s">
        <v>1142</v>
      </c>
      <c r="C16" s="97" t="s">
        <v>76</v>
      </c>
      <c r="D16" s="112">
        <v>6</v>
      </c>
      <c r="E16" s="99">
        <v>140</v>
      </c>
      <c r="F16" s="99">
        <f>D16*E16</f>
        <v>840</v>
      </c>
      <c r="G16" s="99">
        <f t="shared" ref="G16" si="0">F16*0.17</f>
        <v>142.80000000000001</v>
      </c>
      <c r="H16" s="100">
        <f t="shared" ref="H16" si="1">E16*1.17</f>
        <v>163.79999999999998</v>
      </c>
      <c r="I16" s="99">
        <f>H16*D16</f>
        <v>982.8</v>
      </c>
      <c r="J16" s="101"/>
      <c r="M16" s="111">
        <f t="shared" ref="M16:M19" si="2">440*1.02</f>
        <v>448.8</v>
      </c>
      <c r="N16" s="113" t="e">
        <f>M16-#REF!</f>
        <v>#REF!</v>
      </c>
      <c r="O16" s="111" t="e">
        <f t="shared" ref="O16:O19" si="3">N16*D16</f>
        <v>#REF!</v>
      </c>
    </row>
    <row r="17" spans="1:18" s="111" customFormat="1" ht="15.75" x14ac:dyDescent="0.25">
      <c r="A17" s="97">
        <v>2</v>
      </c>
      <c r="B17" s="98" t="s">
        <v>1143</v>
      </c>
      <c r="C17" s="97" t="s">
        <v>76</v>
      </c>
      <c r="D17" s="112">
        <v>25</v>
      </c>
      <c r="E17" s="99">
        <v>140</v>
      </c>
      <c r="F17" s="99">
        <f t="shared" ref="F17:F18" si="4">D17*E17</f>
        <v>3500</v>
      </c>
      <c r="G17" s="99">
        <f t="shared" ref="G17:G18" si="5">F17*0.17</f>
        <v>595</v>
      </c>
      <c r="H17" s="100">
        <f t="shared" ref="H17:H18" si="6">E17*1.17</f>
        <v>163.79999999999998</v>
      </c>
      <c r="I17" s="99">
        <f t="shared" ref="I17:I18" si="7">H17*D17</f>
        <v>4094.9999999999995</v>
      </c>
      <c r="J17" s="101"/>
      <c r="N17" s="113"/>
    </row>
    <row r="18" spans="1:18" s="111" customFormat="1" ht="15.75" x14ac:dyDescent="0.25">
      <c r="A18" s="97">
        <v>3</v>
      </c>
      <c r="B18" s="98" t="s">
        <v>1144</v>
      </c>
      <c r="C18" s="97" t="s">
        <v>76</v>
      </c>
      <c r="D18" s="112">
        <v>6</v>
      </c>
      <c r="E18" s="99">
        <v>140</v>
      </c>
      <c r="F18" s="99">
        <f t="shared" si="4"/>
        <v>840</v>
      </c>
      <c r="G18" s="99">
        <f t="shared" si="5"/>
        <v>142.80000000000001</v>
      </c>
      <c r="H18" s="100">
        <f t="shared" si="6"/>
        <v>163.79999999999998</v>
      </c>
      <c r="I18" s="99">
        <f t="shared" si="7"/>
        <v>982.8</v>
      </c>
      <c r="J18" s="101"/>
      <c r="N18" s="113"/>
    </row>
    <row r="19" spans="1:18" s="111" customFormat="1" x14ac:dyDescent="0.25">
      <c r="A19" s="97"/>
      <c r="B19" s="114"/>
      <c r="C19" s="97"/>
      <c r="D19" s="112"/>
      <c r="E19" s="99"/>
      <c r="F19" s="99"/>
      <c r="G19" s="99"/>
      <c r="H19" s="115"/>
      <c r="I19" s="99"/>
      <c r="J19" s="116"/>
      <c r="M19" s="111">
        <f t="shared" si="2"/>
        <v>448.8</v>
      </c>
      <c r="N19" s="113" t="e">
        <f>M19-#REF!</f>
        <v>#REF!</v>
      </c>
      <c r="O19" s="111" t="e">
        <f t="shared" si="3"/>
        <v>#REF!</v>
      </c>
    </row>
    <row r="20" spans="1:18" ht="15.75" thickBot="1" x14ac:dyDescent="0.3">
      <c r="A20" s="117"/>
      <c r="B20" s="118" t="s">
        <v>24</v>
      </c>
      <c r="C20" s="119"/>
      <c r="D20" s="120">
        <f>SUM(D16:D19)</f>
        <v>37</v>
      </c>
      <c r="E20" s="119"/>
      <c r="F20" s="120">
        <f>SUM(F16:F19)</f>
        <v>5180</v>
      </c>
      <c r="G20" s="120">
        <f>SUM(G16:G19)</f>
        <v>880.59999999999991</v>
      </c>
      <c r="H20" s="119"/>
      <c r="I20" s="120">
        <f>SUM(I16:I19)</f>
        <v>6060.5999999999995</v>
      </c>
      <c r="J20" s="121"/>
      <c r="M20" s="86" t="e">
        <f>#REF!/117*100</f>
        <v>#REF!</v>
      </c>
      <c r="O20" s="86" t="e">
        <f>M20*1.1</f>
        <v>#REF!</v>
      </c>
    </row>
    <row r="21" spans="1:18" ht="15.75" thickTop="1" x14ac:dyDescent="0.25">
      <c r="A21" s="117"/>
      <c r="B21" s="118" t="s">
        <v>1188</v>
      </c>
      <c r="C21" s="119"/>
      <c r="D21" s="119"/>
      <c r="E21" s="119"/>
      <c r="F21" s="119"/>
      <c r="G21" s="119"/>
      <c r="H21" s="119"/>
      <c r="I21" s="119"/>
      <c r="J21" s="121"/>
    </row>
    <row r="22" spans="1:18" x14ac:dyDescent="0.25">
      <c r="A22" s="117"/>
      <c r="B22" s="122" t="s">
        <v>25</v>
      </c>
      <c r="C22" s="119"/>
      <c r="D22" s="119"/>
      <c r="E22" s="119"/>
      <c r="F22" s="119"/>
      <c r="G22" s="119"/>
      <c r="H22" s="119"/>
      <c r="I22" s="119"/>
      <c r="J22" s="121"/>
      <c r="M22" s="123" t="e">
        <f>M20*#REF!</f>
        <v>#REF!</v>
      </c>
      <c r="O22" s="124" t="e">
        <f>#REF!</f>
        <v>#REF!</v>
      </c>
      <c r="P22" s="123" t="e">
        <f>O22-M22</f>
        <v>#REF!</v>
      </c>
      <c r="Q22" s="123" t="e">
        <f>#REF!*0.045</f>
        <v>#REF!</v>
      </c>
      <c r="R22" s="123" t="e">
        <f>P22-Q22</f>
        <v>#REF!</v>
      </c>
    </row>
    <row r="23" spans="1:18" ht="30" customHeight="1" x14ac:dyDescent="0.25">
      <c r="B23" s="199" t="s">
        <v>26</v>
      </c>
      <c r="C23" s="199"/>
      <c r="D23" s="199"/>
      <c r="E23" s="199"/>
      <c r="F23" s="199"/>
      <c r="G23" s="199"/>
      <c r="H23" s="199"/>
      <c r="I23" s="199"/>
      <c r="J23" s="199"/>
      <c r="P23" s="123"/>
      <c r="R23" s="124" t="e">
        <f>#REF!-#REF!</f>
        <v>#REF!</v>
      </c>
    </row>
    <row r="24" spans="1:18" x14ac:dyDescent="0.25">
      <c r="B24" s="86" t="s">
        <v>634</v>
      </c>
    </row>
    <row r="27" spans="1:18" x14ac:dyDescent="0.25">
      <c r="B27" s="86" t="s">
        <v>28</v>
      </c>
      <c r="H27" s="86" t="s">
        <v>28</v>
      </c>
    </row>
    <row r="28" spans="1:18" x14ac:dyDescent="0.25">
      <c r="B28" s="86" t="s">
        <v>29</v>
      </c>
      <c r="H28" s="86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455B4BC3-ADCA-4E04-922E-71B2F6C6375C}"/>
  </hyperlinks>
  <pageMargins left="0.2" right="0.1" top="0.25" bottom="0.25" header="0.3" footer="0.3"/>
  <pageSetup paperSize="9" orientation="portrait" r:id="rId2"/>
  <drawing r:id="rId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06EAB-84E9-4D5C-8B38-01E5D4217B3C}">
  <dimension ref="A1:R27"/>
  <sheetViews>
    <sheetView topLeftCell="A6" workbookViewId="0">
      <selection activeCell="A14" sqref="A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1132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1135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1136</v>
      </c>
      <c r="J9" s="188"/>
    </row>
    <row r="10" spans="1:15" x14ac:dyDescent="0.25">
      <c r="B10" t="s">
        <v>9</v>
      </c>
      <c r="C10" s="10" t="s">
        <v>754</v>
      </c>
      <c r="D10" s="10"/>
      <c r="E10" s="10"/>
      <c r="F10" s="10"/>
    </row>
    <row r="11" spans="1:15" x14ac:dyDescent="0.25">
      <c r="B11" t="s">
        <v>11</v>
      </c>
      <c r="C11" s="10" t="s">
        <v>755</v>
      </c>
      <c r="D11" s="11"/>
      <c r="E11" s="11"/>
      <c r="F11" s="11"/>
    </row>
    <row r="12" spans="1:15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1100</v>
      </c>
      <c r="C16" s="53" t="s">
        <v>895</v>
      </c>
      <c r="D16" s="79">
        <v>30</v>
      </c>
      <c r="E16" s="56">
        <v>65</v>
      </c>
      <c r="F16" s="56">
        <f>D16*E16</f>
        <v>1950</v>
      </c>
      <c r="G16" s="56">
        <f t="shared" ref="G16:G18" si="0">F16*0.17</f>
        <v>331.5</v>
      </c>
      <c r="H16" s="74">
        <f t="shared" ref="H16:H18" si="1">E16*1.17</f>
        <v>76.05</v>
      </c>
      <c r="I16" s="56">
        <f>H16*D16</f>
        <v>2281.5</v>
      </c>
      <c r="J16" s="83"/>
      <c r="M16" s="21">
        <f t="shared" ref="M16:M18" si="2">440*1.02</f>
        <v>448.8</v>
      </c>
      <c r="N16" s="66" t="e">
        <f>M16-#REF!</f>
        <v>#REF!</v>
      </c>
      <c r="O16" s="21" t="e">
        <f t="shared" ref="O16:O18" si="3">N16*D16</f>
        <v>#REF!</v>
      </c>
    </row>
    <row r="17" spans="1:18" s="21" customFormat="1" ht="15.75" x14ac:dyDescent="0.25">
      <c r="A17" s="53">
        <f>A16+1</f>
        <v>2</v>
      </c>
      <c r="B17" s="78" t="s">
        <v>1137</v>
      </c>
      <c r="C17" s="53" t="s">
        <v>193</v>
      </c>
      <c r="D17" s="79">
        <v>76</v>
      </c>
      <c r="E17" s="56">
        <v>15</v>
      </c>
      <c r="F17" s="56">
        <f t="shared" ref="F17:F18" si="4">D17*E17</f>
        <v>1140</v>
      </c>
      <c r="G17" s="56">
        <f t="shared" si="0"/>
        <v>193.8</v>
      </c>
      <c r="H17" s="74">
        <f t="shared" si="1"/>
        <v>17.549999999999997</v>
      </c>
      <c r="I17" s="56">
        <f t="shared" ref="I17:I18" si="5">H17*D17</f>
        <v>1333.7999999999997</v>
      </c>
      <c r="J17" s="83"/>
      <c r="N17" s="66"/>
    </row>
    <row r="18" spans="1:18" s="21" customFormat="1" x14ac:dyDescent="0.25">
      <c r="A18" s="53"/>
      <c r="B18" s="47"/>
      <c r="C18" s="82"/>
      <c r="D18" s="57"/>
      <c r="E18" s="56"/>
      <c r="F18" s="56">
        <f t="shared" si="4"/>
        <v>0</v>
      </c>
      <c r="G18" s="56">
        <f t="shared" si="0"/>
        <v>0</v>
      </c>
      <c r="H18" s="57">
        <f t="shared" si="1"/>
        <v>0</v>
      </c>
      <c r="I18" s="56">
        <f t="shared" si="5"/>
        <v>0</v>
      </c>
      <c r="J18" s="58"/>
      <c r="M18" s="21">
        <f t="shared" si="2"/>
        <v>448.8</v>
      </c>
      <c r="N18" s="66" t="e">
        <f>M18-#REF!</f>
        <v>#REF!</v>
      </c>
      <c r="O18" s="21" t="e">
        <f t="shared" si="3"/>
        <v>#REF!</v>
      </c>
    </row>
    <row r="19" spans="1:18" ht="15.75" thickBot="1" x14ac:dyDescent="0.3">
      <c r="A19" s="33"/>
      <c r="B19" s="34" t="s">
        <v>24</v>
      </c>
      <c r="C19" s="35"/>
      <c r="D19" s="62">
        <f>SUM(D16:D18)</f>
        <v>106</v>
      </c>
      <c r="E19" s="35"/>
      <c r="F19" s="62">
        <f>SUM(F16:F18)</f>
        <v>3090</v>
      </c>
      <c r="G19" s="62">
        <f>SUM(G16:G18)</f>
        <v>525.29999999999995</v>
      </c>
      <c r="H19" s="35"/>
      <c r="I19" s="62">
        <f>SUM(I16:I18)</f>
        <v>3615.2999999999997</v>
      </c>
      <c r="J19" s="37"/>
      <c r="M19" t="e">
        <f>#REF!/117*100</f>
        <v>#REF!</v>
      </c>
      <c r="O19" t="e">
        <f>M19*1.1</f>
        <v>#REF!</v>
      </c>
    </row>
    <row r="20" spans="1:18" ht="15.75" thickTop="1" x14ac:dyDescent="0.25">
      <c r="A20" s="33"/>
      <c r="B20" s="34" t="s">
        <v>1138</v>
      </c>
      <c r="C20" s="35"/>
      <c r="D20" s="35"/>
      <c r="E20" s="35"/>
      <c r="F20" s="35"/>
      <c r="G20" s="35"/>
      <c r="H20" s="35"/>
      <c r="I20" s="35"/>
      <c r="J20" s="37"/>
    </row>
    <row r="21" spans="1:18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  <c r="M21" s="64" t="e">
        <f>M19*#REF!</f>
        <v>#REF!</v>
      </c>
      <c r="O21" s="65" t="e">
        <f>#REF!</f>
        <v>#REF!</v>
      </c>
      <c r="P21" s="64" t="e">
        <f>O21-M21</f>
        <v>#REF!</v>
      </c>
      <c r="Q21" s="64" t="e">
        <f>#REF!*0.045</f>
        <v>#REF!</v>
      </c>
      <c r="R21" s="64" t="e">
        <f>P21-Q21</f>
        <v>#REF!</v>
      </c>
    </row>
    <row r="22" spans="1:18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  <c r="P22" s="64"/>
      <c r="R22" s="65" t="e">
        <f>#REF!-#REF!</f>
        <v>#REF!</v>
      </c>
    </row>
    <row r="23" spans="1:18" x14ac:dyDescent="0.25">
      <c r="B23" t="s">
        <v>634</v>
      </c>
    </row>
    <row r="26" spans="1:18" x14ac:dyDescent="0.25">
      <c r="B26" t="s">
        <v>28</v>
      </c>
      <c r="H26" t="s">
        <v>28</v>
      </c>
    </row>
    <row r="27" spans="1:18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9987984C-022A-4C24-82C7-D1A3C659D0CA}"/>
  </hyperlinks>
  <pageMargins left="0.2" right="0.1" top="0.25" bottom="0.25" header="0.3" footer="0.3"/>
  <pageSetup paperSize="9" orientation="portrait" r:id="rId2"/>
  <drawing r:id="rId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42034-D624-4B41-8E4A-3ACE2173A1EC}">
  <dimension ref="A1:J25"/>
  <sheetViews>
    <sheetView topLeftCell="A6" workbookViewId="0">
      <selection activeCell="C13" sqref="C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1132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1129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1134</v>
      </c>
      <c r="J9" s="188"/>
    </row>
    <row r="10" spans="1:10" x14ac:dyDescent="0.25">
      <c r="B10" t="s">
        <v>9</v>
      </c>
      <c r="C10" s="10" t="s">
        <v>1063</v>
      </c>
      <c r="D10" s="10"/>
      <c r="E10" s="10"/>
      <c r="F10" s="10"/>
    </row>
    <row r="11" spans="1:10" x14ac:dyDescent="0.25">
      <c r="B11" t="s">
        <v>11</v>
      </c>
      <c r="C11" s="10" t="s">
        <v>999</v>
      </c>
      <c r="D11" s="11"/>
      <c r="E11" s="11"/>
      <c r="F11" s="11"/>
    </row>
    <row r="12" spans="1:10" x14ac:dyDescent="0.25">
      <c r="A12" s="12"/>
      <c r="B12" s="13"/>
      <c r="C12" s="14" t="s">
        <v>1000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1113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1058</v>
      </c>
      <c r="C16" s="54" t="s">
        <v>23</v>
      </c>
      <c r="D16" s="72">
        <v>6</v>
      </c>
      <c r="E16" s="56">
        <v>7500</v>
      </c>
      <c r="F16" s="56">
        <f t="shared" ref="F16" si="0">D16*E16</f>
        <v>45000</v>
      </c>
      <c r="G16" s="56">
        <f>F16*0.17</f>
        <v>7650.0000000000009</v>
      </c>
      <c r="H16" s="84">
        <f>E16*1.17</f>
        <v>8775</v>
      </c>
      <c r="I16" s="56">
        <f t="shared" ref="I16" si="1">H16*D16</f>
        <v>52650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6</v>
      </c>
      <c r="E17" s="35"/>
      <c r="F17" s="62">
        <f>SUM(F16:F16)</f>
        <v>45000</v>
      </c>
      <c r="G17" s="62">
        <f>SUM(G16:G16)</f>
        <v>7650.0000000000009</v>
      </c>
      <c r="H17" s="35"/>
      <c r="I17" s="62">
        <f>SUM(I16:I16)</f>
        <v>52650</v>
      </c>
      <c r="J17" s="37"/>
    </row>
    <row r="18" spans="1:10" ht="15.75" thickTop="1" x14ac:dyDescent="0.25">
      <c r="A18" s="33"/>
      <c r="B18" s="34" t="s">
        <v>1128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236408D0-87AF-4781-9BDE-11B31A2EBCF7}"/>
  </hyperlinks>
  <pageMargins left="0.2" right="0.1" top="0.25" bottom="0.25" header="0.3" footer="0.3"/>
  <pageSetup paperSize="9" orientation="portrait" r:id="rId2"/>
  <drawing r:id="rId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86EC0-F790-4F46-8D18-428656E765D4}">
  <dimension ref="A1:J27"/>
  <sheetViews>
    <sheetView topLeftCell="A7" workbookViewId="0">
      <selection activeCell="F21" sqref="F2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1132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1126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1131</v>
      </c>
      <c r="J9" s="188"/>
    </row>
    <row r="10" spans="1:10" x14ac:dyDescent="0.25">
      <c r="B10" t="s">
        <v>9</v>
      </c>
      <c r="C10" s="10" t="s">
        <v>1008</v>
      </c>
      <c r="D10" s="10"/>
      <c r="E10" s="10"/>
      <c r="F10" s="10"/>
    </row>
    <row r="11" spans="1:10" x14ac:dyDescent="0.25">
      <c r="B11" t="s">
        <v>11</v>
      </c>
      <c r="C11" s="10" t="s">
        <v>999</v>
      </c>
      <c r="D11" s="11"/>
      <c r="E11" s="11"/>
      <c r="F11" s="11"/>
    </row>
    <row r="12" spans="1:10" x14ac:dyDescent="0.25">
      <c r="A12" s="12"/>
      <c r="B12" s="13"/>
      <c r="C12" s="14" t="s">
        <v>1000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1009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1058</v>
      </c>
      <c r="C16" s="54" t="s">
        <v>23</v>
      </c>
      <c r="D16" s="72">
        <v>6</v>
      </c>
      <c r="E16" s="56">
        <v>7500</v>
      </c>
      <c r="F16" s="56">
        <f t="shared" ref="F16:F18" si="0">D16*E16</f>
        <v>45000</v>
      </c>
      <c r="G16" s="56">
        <f>F16*0.17</f>
        <v>7650.0000000000009</v>
      </c>
      <c r="H16" s="84">
        <f>E16*1.17</f>
        <v>8775</v>
      </c>
      <c r="I16" s="56">
        <f t="shared" ref="I16:I18" si="1">H16*D16</f>
        <v>52650</v>
      </c>
      <c r="J16" s="58"/>
    </row>
    <row r="17" spans="1:10" s="21" customFormat="1" ht="30" x14ac:dyDescent="0.25">
      <c r="A17" s="53">
        <v>2</v>
      </c>
      <c r="B17" s="47" t="s">
        <v>1010</v>
      </c>
      <c r="C17" s="54" t="s">
        <v>23</v>
      </c>
      <c r="D17" s="72">
        <v>6</v>
      </c>
      <c r="E17" s="56">
        <v>3000</v>
      </c>
      <c r="F17" s="56">
        <f t="shared" si="0"/>
        <v>18000</v>
      </c>
      <c r="G17" s="56">
        <f>F17*0.17</f>
        <v>3060</v>
      </c>
      <c r="H17" s="84">
        <f>E17*1.17</f>
        <v>3510</v>
      </c>
      <c r="I17" s="56">
        <f t="shared" si="1"/>
        <v>21060</v>
      </c>
      <c r="J17" s="58"/>
    </row>
    <row r="18" spans="1:10" s="21" customFormat="1" ht="30" x14ac:dyDescent="0.25">
      <c r="A18" s="53">
        <v>3</v>
      </c>
      <c r="B18" s="47" t="s">
        <v>1059</v>
      </c>
      <c r="C18" s="54" t="s">
        <v>23</v>
      </c>
      <c r="D18" s="72">
        <v>6</v>
      </c>
      <c r="E18" s="56">
        <v>2500</v>
      </c>
      <c r="F18" s="56">
        <f t="shared" si="0"/>
        <v>15000</v>
      </c>
      <c r="G18" s="56">
        <f>F18*0.17</f>
        <v>2550</v>
      </c>
      <c r="H18" s="84">
        <f>E18*1.17</f>
        <v>2925</v>
      </c>
      <c r="I18" s="56">
        <f t="shared" si="1"/>
        <v>17550</v>
      </c>
      <c r="J18" s="58"/>
    </row>
    <row r="19" spans="1:10" ht="15.75" thickBot="1" x14ac:dyDescent="0.3">
      <c r="A19" s="33"/>
      <c r="B19" s="34" t="s">
        <v>24</v>
      </c>
      <c r="C19" s="35"/>
      <c r="D19" s="62">
        <f>SUM(D16:D18)</f>
        <v>18</v>
      </c>
      <c r="E19" s="35"/>
      <c r="F19" s="62">
        <f>SUM(F16:F18)</f>
        <v>78000</v>
      </c>
      <c r="G19" s="62">
        <f>SUM(G16:G18)</f>
        <v>13260</v>
      </c>
      <c r="H19" s="35"/>
      <c r="I19" s="62">
        <f>SUM(I16:I18)</f>
        <v>91260</v>
      </c>
      <c r="J19" s="37"/>
    </row>
    <row r="20" spans="1:10" ht="15.75" thickTop="1" x14ac:dyDescent="0.25">
      <c r="A20" s="33"/>
      <c r="B20" s="34" t="s">
        <v>1127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634</v>
      </c>
    </row>
    <row r="26" spans="1:10" x14ac:dyDescent="0.25">
      <c r="B26" t="s">
        <v>28</v>
      </c>
      <c r="H26" t="s">
        <v>28</v>
      </c>
    </row>
    <row r="27" spans="1:10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7BAF1506-6968-4519-9945-B8B6B2876B95}"/>
  </hyperlinks>
  <pageMargins left="0.2" right="0.1" top="0.25" bottom="0.25" header="0.3" footer="0.3"/>
  <pageSetup paperSize="9" orientation="portrait" r:id="rId2"/>
  <drawing r:id="rId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4B5B9-D7A2-4760-B146-1D576051F003}">
  <dimension ref="A1:J29"/>
  <sheetViews>
    <sheetView topLeftCell="A7" workbookViewId="0">
      <selection activeCell="F17" sqref="F17:F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1120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1119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1121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1122</v>
      </c>
      <c r="C16" s="54" t="s">
        <v>23</v>
      </c>
      <c r="D16" s="72">
        <v>2000</v>
      </c>
      <c r="E16" s="56">
        <v>9</v>
      </c>
      <c r="F16" s="56">
        <f t="shared" ref="F16:F20" si="0">D16*E16</f>
        <v>18000</v>
      </c>
      <c r="G16" s="56">
        <f>F16*0</f>
        <v>0</v>
      </c>
      <c r="H16" s="84">
        <f>E16*1</f>
        <v>9</v>
      </c>
      <c r="I16" s="56">
        <f t="shared" ref="I16:I20" si="1">H16*D16</f>
        <v>18000</v>
      </c>
      <c r="J16" s="58"/>
    </row>
    <row r="17" spans="1:10" s="21" customFormat="1" x14ac:dyDescent="0.25">
      <c r="A17" s="53">
        <v>2</v>
      </c>
      <c r="B17" s="47" t="s">
        <v>1123</v>
      </c>
      <c r="C17" s="54" t="s">
        <v>23</v>
      </c>
      <c r="D17" s="72">
        <v>10</v>
      </c>
      <c r="E17" s="56">
        <v>900</v>
      </c>
      <c r="F17" s="56">
        <f t="shared" si="0"/>
        <v>9000</v>
      </c>
      <c r="G17" s="56">
        <f>F17*0.17</f>
        <v>1530</v>
      </c>
      <c r="H17" s="84">
        <f>E17*1.17</f>
        <v>1053</v>
      </c>
      <c r="I17" s="56">
        <f t="shared" si="1"/>
        <v>10530</v>
      </c>
      <c r="J17" s="58"/>
    </row>
    <row r="18" spans="1:10" s="21" customFormat="1" x14ac:dyDescent="0.25">
      <c r="A18" s="53">
        <v>3</v>
      </c>
      <c r="B18" s="47" t="s">
        <v>1124</v>
      </c>
      <c r="C18" s="54" t="s">
        <v>23</v>
      </c>
      <c r="D18" s="72">
        <v>200</v>
      </c>
      <c r="E18" s="56">
        <v>72</v>
      </c>
      <c r="F18" s="56">
        <f t="shared" ref="F18:F19" si="2">D18*E18</f>
        <v>14400</v>
      </c>
      <c r="G18" s="56">
        <f>F18*0.17</f>
        <v>2448</v>
      </c>
      <c r="H18" s="84">
        <f>E18*1.17</f>
        <v>84.24</v>
      </c>
      <c r="I18" s="56">
        <f t="shared" ref="I18:I19" si="3">H18*D18</f>
        <v>16848</v>
      </c>
      <c r="J18" s="58"/>
    </row>
    <row r="19" spans="1:10" s="21" customFormat="1" x14ac:dyDescent="0.25">
      <c r="A19" s="53">
        <v>4</v>
      </c>
      <c r="B19" s="47" t="s">
        <v>1125</v>
      </c>
      <c r="C19" s="54" t="s">
        <v>23</v>
      </c>
      <c r="D19" s="72">
        <v>40000</v>
      </c>
      <c r="E19" s="85">
        <v>3.5</v>
      </c>
      <c r="F19" s="56">
        <f t="shared" si="2"/>
        <v>140000</v>
      </c>
      <c r="G19" s="56">
        <f>F19*0.17</f>
        <v>23800</v>
      </c>
      <c r="H19" s="84">
        <f>E19*1.17</f>
        <v>4.0949999999999998</v>
      </c>
      <c r="I19" s="56">
        <f t="shared" si="3"/>
        <v>163800</v>
      </c>
      <c r="J19" s="58"/>
    </row>
    <row r="20" spans="1:10" s="21" customFormat="1" x14ac:dyDescent="0.25">
      <c r="A20" s="53">
        <v>5</v>
      </c>
      <c r="B20" s="47" t="s">
        <v>209</v>
      </c>
      <c r="C20" s="54" t="s">
        <v>23</v>
      </c>
      <c r="D20" s="72">
        <v>1000</v>
      </c>
      <c r="E20" s="85">
        <v>30</v>
      </c>
      <c r="F20" s="56">
        <f t="shared" si="0"/>
        <v>30000</v>
      </c>
      <c r="G20" s="56">
        <f>F20*0.17</f>
        <v>5100</v>
      </c>
      <c r="H20" s="84">
        <f>E20*1.17</f>
        <v>35.099999999999994</v>
      </c>
      <c r="I20" s="56">
        <f t="shared" si="1"/>
        <v>35099.999999999993</v>
      </c>
      <c r="J20" s="58"/>
    </row>
    <row r="21" spans="1:10" ht="15.75" thickBot="1" x14ac:dyDescent="0.3">
      <c r="A21" s="33"/>
      <c r="B21" s="34" t="s">
        <v>24</v>
      </c>
      <c r="C21" s="35"/>
      <c r="D21" s="73">
        <f>SUM(D16:D20)</f>
        <v>43210</v>
      </c>
      <c r="E21" s="35"/>
      <c r="F21" s="62">
        <f>SUM(F16:F20)</f>
        <v>211400</v>
      </c>
      <c r="G21" s="62">
        <f>SUM(G16:G20)</f>
        <v>32878</v>
      </c>
      <c r="H21" s="35"/>
      <c r="I21" s="62">
        <f>SUM(I16:I20)</f>
        <v>244278</v>
      </c>
      <c r="J21" s="37"/>
    </row>
    <row r="22" spans="1:10" ht="15.75" thickTop="1" x14ac:dyDescent="0.25">
      <c r="A22" s="33"/>
      <c r="B22" s="34" t="s">
        <v>1130</v>
      </c>
      <c r="C22" s="35"/>
      <c r="D22" s="35"/>
      <c r="E22" s="35"/>
      <c r="F22" s="35"/>
      <c r="G22" s="35"/>
      <c r="H22" s="35"/>
      <c r="I22" s="35"/>
      <c r="J22" s="37"/>
    </row>
    <row r="23" spans="1:10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</row>
    <row r="24" spans="1:10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</row>
    <row r="25" spans="1:10" x14ac:dyDescent="0.25">
      <c r="B25" t="s">
        <v>634</v>
      </c>
    </row>
    <row r="28" spans="1:10" x14ac:dyDescent="0.25">
      <c r="B28" t="s">
        <v>28</v>
      </c>
      <c r="H28" t="s">
        <v>28</v>
      </c>
    </row>
    <row r="29" spans="1:10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070E6455-7383-4984-9BFD-6A7F313097EE}"/>
  </hyperlinks>
  <pageMargins left="0.2" right="0.1" top="0.25" bottom="0.25" header="0.3" footer="0.3"/>
  <pageSetup paperSize="9" orientation="portrait" r:id="rId2"/>
  <drawing r:id="rId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45C3E-E41E-4C42-BD14-653868F318B0}">
  <dimension ref="A1:J25"/>
  <sheetViews>
    <sheetView topLeftCell="A6" workbookViewId="0">
      <selection activeCell="C14" sqref="C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1132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1115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1133</v>
      </c>
      <c r="J9" s="188"/>
    </row>
    <row r="10" spans="1:10" x14ac:dyDescent="0.25">
      <c r="B10" t="s">
        <v>9</v>
      </c>
      <c r="C10" s="10" t="s">
        <v>1067</v>
      </c>
      <c r="D10" s="10"/>
      <c r="E10" s="10"/>
      <c r="F10" s="10"/>
    </row>
    <row r="11" spans="1:10" x14ac:dyDescent="0.25">
      <c r="B11" t="s">
        <v>11</v>
      </c>
      <c r="C11" s="10" t="s">
        <v>1068</v>
      </c>
      <c r="D11" s="11"/>
      <c r="E11" s="11"/>
      <c r="F11" s="11"/>
    </row>
    <row r="12" spans="1:10" x14ac:dyDescent="0.25">
      <c r="A12" s="12"/>
      <c r="B12" s="13"/>
      <c r="C12" s="14" t="s">
        <v>1069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1070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2</v>
      </c>
      <c r="B16" s="47" t="s">
        <v>1058</v>
      </c>
      <c r="C16" s="54" t="s">
        <v>23</v>
      </c>
      <c r="D16" s="72">
        <v>6</v>
      </c>
      <c r="E16" s="56">
        <v>7500</v>
      </c>
      <c r="F16" s="56">
        <f t="shared" ref="F16" si="0">D16*E16</f>
        <v>45000</v>
      </c>
      <c r="G16" s="56">
        <f>F16*0.17</f>
        <v>7650.0000000000009</v>
      </c>
      <c r="H16" s="84">
        <f>E16*1.17</f>
        <v>8775</v>
      </c>
      <c r="I16" s="56">
        <f t="shared" ref="I16" si="1">H16*D16</f>
        <v>52650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6</v>
      </c>
      <c r="E17" s="35"/>
      <c r="F17" s="62">
        <f>SUM(F16:F16)</f>
        <v>45000</v>
      </c>
      <c r="G17" s="62">
        <f>SUM(G16:G16)</f>
        <v>7650.0000000000009</v>
      </c>
      <c r="H17" s="35"/>
      <c r="I17" s="62">
        <f>SUM(I16:I16)</f>
        <v>52650</v>
      </c>
      <c r="J17" s="37"/>
    </row>
    <row r="18" spans="1:10" ht="15.75" thickTop="1" x14ac:dyDescent="0.25">
      <c r="A18" s="33"/>
      <c r="B18" s="34" t="s">
        <v>1128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D1C1F04A-6331-4D25-B0FB-5DFE66CF29D7}"/>
  </hyperlinks>
  <pageMargins left="0.2" right="0.1" top="0.25" bottom="0.25" header="0.3" footer="0.3"/>
  <pageSetup paperSize="9" orientation="portrait" r:id="rId2"/>
  <drawing r:id="rId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04890-C1D6-47E5-8487-390FC2A99260}">
  <dimension ref="A1:R26"/>
  <sheetViews>
    <sheetView topLeftCell="A13" workbookViewId="0">
      <selection activeCell="A28" sqref="A2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1116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1115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A10" s="86"/>
      <c r="B10" s="86" t="s">
        <v>9</v>
      </c>
      <c r="C10" s="87" t="s">
        <v>601</v>
      </c>
      <c r="D10" s="87"/>
      <c r="E10" s="87"/>
      <c r="F10" s="87"/>
      <c r="G10" s="86"/>
      <c r="H10" s="86"/>
      <c r="I10" s="86"/>
      <c r="J10" s="86"/>
    </row>
    <row r="11" spans="1:14" x14ac:dyDescent="0.25">
      <c r="A11" s="86"/>
      <c r="B11" s="86" t="s">
        <v>11</v>
      </c>
      <c r="C11" s="87" t="s">
        <v>875</v>
      </c>
      <c r="D11" s="88"/>
      <c r="E11" s="88"/>
      <c r="F11" s="88"/>
      <c r="G11" s="86"/>
      <c r="H11" s="86"/>
      <c r="I11" s="86"/>
      <c r="J11" s="86"/>
    </row>
    <row r="12" spans="1:14" x14ac:dyDescent="0.25">
      <c r="A12" s="89"/>
      <c r="B12" s="90"/>
      <c r="C12" s="91" t="s">
        <v>1095</v>
      </c>
      <c r="D12" s="92"/>
      <c r="E12" s="92"/>
      <c r="F12" s="92"/>
      <c r="G12" s="93"/>
      <c r="H12" s="93"/>
      <c r="I12" s="93"/>
      <c r="J12" s="86"/>
    </row>
    <row r="13" spans="1:14" x14ac:dyDescent="0.25">
      <c r="A13" s="89"/>
      <c r="B13" s="90"/>
      <c r="C13" s="88" t="s">
        <v>735</v>
      </c>
      <c r="D13" s="92"/>
      <c r="E13" s="92"/>
      <c r="F13" s="92"/>
      <c r="G13" s="93"/>
      <c r="H13" s="93"/>
      <c r="I13" s="93"/>
      <c r="J13" s="86"/>
    </row>
    <row r="14" spans="1:14" ht="5.0999999999999996" customHeight="1" x14ac:dyDescent="0.25">
      <c r="A14" s="86"/>
      <c r="B14" s="86"/>
      <c r="C14" s="94"/>
      <c r="D14" s="86"/>
      <c r="E14" s="86"/>
      <c r="F14" s="86"/>
      <c r="G14" s="86"/>
      <c r="H14" s="86"/>
      <c r="I14" s="86"/>
      <c r="J14" s="86"/>
    </row>
    <row r="15" spans="1:14" s="21" customFormat="1" ht="45" customHeight="1" x14ac:dyDescent="0.25">
      <c r="A15" s="95" t="s">
        <v>13</v>
      </c>
      <c r="B15" s="96" t="s">
        <v>14</v>
      </c>
      <c r="C15" s="95" t="s">
        <v>15</v>
      </c>
      <c r="D15" s="95" t="s">
        <v>16</v>
      </c>
      <c r="E15" s="95" t="s">
        <v>17</v>
      </c>
      <c r="F15" s="95" t="s">
        <v>18</v>
      </c>
      <c r="G15" s="95" t="s">
        <v>19</v>
      </c>
      <c r="H15" s="95" t="s">
        <v>20</v>
      </c>
      <c r="I15" s="95" t="s">
        <v>21</v>
      </c>
      <c r="J15" s="96" t="s">
        <v>22</v>
      </c>
      <c r="M15" s="21" t="s">
        <v>738</v>
      </c>
    </row>
    <row r="16" spans="1:14" s="21" customFormat="1" ht="15.75" x14ac:dyDescent="0.25">
      <c r="A16" s="97">
        <v>1</v>
      </c>
      <c r="B16" s="98" t="s">
        <v>1117</v>
      </c>
      <c r="C16" s="97" t="s">
        <v>269</v>
      </c>
      <c r="D16" s="97">
        <v>150</v>
      </c>
      <c r="E16" s="99">
        <v>484</v>
      </c>
      <c r="F16" s="99">
        <f t="shared" ref="F16:F17" si="0">D16*E16</f>
        <v>72600</v>
      </c>
      <c r="G16" s="99">
        <f>F16*0.17</f>
        <v>12342</v>
      </c>
      <c r="H16" s="100">
        <f>E16*1.17</f>
        <v>566.28</v>
      </c>
      <c r="I16" s="99">
        <f>H16*D16</f>
        <v>84942</v>
      </c>
      <c r="J16" s="101"/>
      <c r="N16" s="66"/>
    </row>
    <row r="17" spans="1:18" s="21" customFormat="1" x14ac:dyDescent="0.25">
      <c r="A17" s="53"/>
      <c r="B17" s="47"/>
      <c r="C17" s="82"/>
      <c r="D17" s="57"/>
      <c r="E17" s="56"/>
      <c r="F17" s="56">
        <f t="shared" si="0"/>
        <v>0</v>
      </c>
      <c r="G17" s="56">
        <f t="shared" ref="G17" si="1">F17*0.17</f>
        <v>0</v>
      </c>
      <c r="H17" s="57">
        <f t="shared" ref="H17" si="2">E17*1.17</f>
        <v>0</v>
      </c>
      <c r="I17" s="56">
        <f t="shared" ref="I17" si="3">H17*D17</f>
        <v>0</v>
      </c>
      <c r="J17" s="58"/>
      <c r="M17" s="21">
        <f t="shared" ref="M17" si="4">440*1.02</f>
        <v>448.8</v>
      </c>
      <c r="N17" s="66" t="e">
        <f>M17-#REF!</f>
        <v>#REF!</v>
      </c>
      <c r="O17" s="21" t="e">
        <f t="shared" ref="O17" si="5">N17*D17</f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150</v>
      </c>
      <c r="E18" s="35"/>
      <c r="F18" s="62">
        <f>SUM(F16:F17)</f>
        <v>72600</v>
      </c>
      <c r="G18" s="62">
        <f>SUM(G16:G17)</f>
        <v>12342</v>
      </c>
      <c r="H18" s="35"/>
      <c r="I18" s="62">
        <f>SUM(I16:I17)</f>
        <v>84942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1118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27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5332EBCE-B29C-46BA-8EA2-58BA197E2E46}"/>
  </hyperlinks>
  <pageMargins left="0.2" right="0.1" top="0.25" bottom="0.25" header="0.3" footer="0.3"/>
  <pageSetup paperSize="9" orientation="portrait" r:id="rId2"/>
  <drawing r:id="rId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A4A9E-E6AB-4A8E-AAE7-11726548FC2B}">
  <dimension ref="A1:R28"/>
  <sheetViews>
    <sheetView workbookViewId="0">
      <selection activeCell="A17" sqref="A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1110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1111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601</v>
      </c>
      <c r="D10" s="10"/>
      <c r="E10" s="10"/>
      <c r="F10" s="10"/>
    </row>
    <row r="11" spans="1:14" x14ac:dyDescent="0.25">
      <c r="B11" t="s">
        <v>11</v>
      </c>
      <c r="C11" s="10" t="s">
        <v>875</v>
      </c>
      <c r="D11" s="11"/>
      <c r="E11" s="11"/>
      <c r="F11" s="11"/>
    </row>
    <row r="12" spans="1:14" x14ac:dyDescent="0.25">
      <c r="A12" s="12"/>
      <c r="B12" s="13"/>
      <c r="C12" s="14" t="s">
        <v>1095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4" s="21" customFormat="1" ht="15.75" x14ac:dyDescent="0.25">
      <c r="A16" s="53">
        <v>1</v>
      </c>
      <c r="B16" s="78" t="s">
        <v>925</v>
      </c>
      <c r="C16" s="53" t="s">
        <v>23</v>
      </c>
      <c r="D16" s="53">
        <v>38</v>
      </c>
      <c r="E16" s="56">
        <v>30</v>
      </c>
      <c r="F16" s="56">
        <f t="shared" ref="F16:F19" si="0">D16*E16</f>
        <v>1140</v>
      </c>
      <c r="G16" s="56">
        <f>F16*0.17</f>
        <v>193.8</v>
      </c>
      <c r="H16" s="74">
        <f>E16*1.17</f>
        <v>35.099999999999994</v>
      </c>
      <c r="I16" s="56">
        <f>H16*D16</f>
        <v>1333.7999999999997</v>
      </c>
      <c r="J16" s="83"/>
      <c r="N16" s="66"/>
    </row>
    <row r="17" spans="1:18" s="21" customFormat="1" ht="15.75" x14ac:dyDescent="0.25">
      <c r="A17" s="53">
        <v>2</v>
      </c>
      <c r="B17" s="78" t="s">
        <v>944</v>
      </c>
      <c r="C17" s="53" t="s">
        <v>76</v>
      </c>
      <c r="D17" s="53">
        <v>4</v>
      </c>
      <c r="E17" s="56">
        <v>70</v>
      </c>
      <c r="F17" s="56">
        <f t="shared" ref="F17" si="1">D17*E17</f>
        <v>280</v>
      </c>
      <c r="G17" s="56">
        <f>F17*0</f>
        <v>0</v>
      </c>
      <c r="H17" s="74">
        <f>E17*1</f>
        <v>70</v>
      </c>
      <c r="I17" s="56">
        <f t="shared" ref="I17" si="2">H17*D17</f>
        <v>280</v>
      </c>
      <c r="J17" s="83"/>
      <c r="N17" s="66"/>
    </row>
    <row r="18" spans="1:18" s="21" customFormat="1" ht="15.75" x14ac:dyDescent="0.25">
      <c r="A18" s="53">
        <v>3</v>
      </c>
      <c r="B18" s="78" t="s">
        <v>656</v>
      </c>
      <c r="C18" s="53" t="s">
        <v>23</v>
      </c>
      <c r="D18" s="53">
        <v>50</v>
      </c>
      <c r="E18" s="56">
        <v>35</v>
      </c>
      <c r="F18" s="56">
        <f t="shared" si="0"/>
        <v>1750</v>
      </c>
      <c r="G18" s="56">
        <f t="shared" ref="G18:G19" si="3">F18*0.17</f>
        <v>297.5</v>
      </c>
      <c r="H18" s="74">
        <f t="shared" ref="H18:H19" si="4">E18*1.17</f>
        <v>40.949999999999996</v>
      </c>
      <c r="I18" s="56">
        <f t="shared" ref="I18:I19" si="5">H18*D18</f>
        <v>2047.4999999999998</v>
      </c>
      <c r="J18" s="83"/>
      <c r="N18" s="66"/>
    </row>
    <row r="19" spans="1:18" s="21" customFormat="1" x14ac:dyDescent="0.25">
      <c r="A19" s="53"/>
      <c r="B19" s="47"/>
      <c r="C19" s="82"/>
      <c r="D19" s="57"/>
      <c r="E19" s="56"/>
      <c r="F19" s="56">
        <f t="shared" si="0"/>
        <v>0</v>
      </c>
      <c r="G19" s="56">
        <f t="shared" si="3"/>
        <v>0</v>
      </c>
      <c r="H19" s="57">
        <f t="shared" si="4"/>
        <v>0</v>
      </c>
      <c r="I19" s="56">
        <f t="shared" si="5"/>
        <v>0</v>
      </c>
      <c r="J19" s="58"/>
      <c r="M19" s="21">
        <f t="shared" ref="M19" si="6">440*1.02</f>
        <v>448.8</v>
      </c>
      <c r="N19" s="66" t="e">
        <f>M19-#REF!</f>
        <v>#REF!</v>
      </c>
      <c r="O19" s="21" t="e">
        <f t="shared" ref="O19" si="7">N19*D19</f>
        <v>#REF!</v>
      </c>
    </row>
    <row r="20" spans="1:18" ht="15.75" thickBot="1" x14ac:dyDescent="0.3">
      <c r="A20" s="33"/>
      <c r="B20" s="34" t="s">
        <v>24</v>
      </c>
      <c r="C20" s="35"/>
      <c r="D20" s="62">
        <f>SUM(D16:D19)</f>
        <v>92</v>
      </c>
      <c r="E20" s="35"/>
      <c r="F20" s="62">
        <f>SUM(F16:F19)</f>
        <v>3170</v>
      </c>
      <c r="G20" s="62">
        <f>SUM(G16:G19)</f>
        <v>491.3</v>
      </c>
      <c r="H20" s="35"/>
      <c r="I20" s="62">
        <f>SUM(I16:I19)</f>
        <v>3661.2999999999993</v>
      </c>
      <c r="J20" s="37"/>
      <c r="M20" t="e">
        <f>#REF!/117*100</f>
        <v>#REF!</v>
      </c>
      <c r="O20" t="e">
        <f>M20*1.1</f>
        <v>#REF!</v>
      </c>
    </row>
    <row r="21" spans="1:18" ht="15.75" thickTop="1" x14ac:dyDescent="0.25">
      <c r="A21" s="33"/>
      <c r="B21" s="34" t="s">
        <v>1112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 t="e">
        <f>M20*#REF!</f>
        <v>#REF!</v>
      </c>
      <c r="O22" s="65" t="e">
        <f>#REF!</f>
        <v>#REF!</v>
      </c>
      <c r="P22" s="64" t="e">
        <f>O22-M22</f>
        <v>#REF!</v>
      </c>
      <c r="Q22" s="64" t="e">
        <f>#REF!*0.045</f>
        <v>#REF!</v>
      </c>
      <c r="R22" s="64" t="e">
        <f>P22-Q22</f>
        <v>#REF!</v>
      </c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 t="e">
        <f>#REF!-#REF!</f>
        <v>#REF!</v>
      </c>
    </row>
    <row r="24" spans="1:18" x14ac:dyDescent="0.25">
      <c r="B24" t="s">
        <v>27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8E918A3E-56EF-4DAD-BC67-461C63D749D7}"/>
  </hyperlinks>
  <pageMargins left="0.2" right="0.1" top="0.25" bottom="0.25" header="0.3" footer="0.3"/>
  <pageSetup paperSize="9" orientation="portrait" r:id="rId2"/>
  <drawing r:id="rId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84EFC-C822-4886-B78A-7C591920BCA1}">
  <dimension ref="A1:J26"/>
  <sheetViews>
    <sheetView workbookViewId="0">
      <selection activeCell="F19" sqref="F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1105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1104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1106</v>
      </c>
      <c r="C16" s="24" t="s">
        <v>269</v>
      </c>
      <c r="D16" s="25">
        <v>30</v>
      </c>
      <c r="E16" s="26">
        <v>480</v>
      </c>
      <c r="F16" s="27">
        <f t="shared" ref="F16:F18" si="0">D16*E16</f>
        <v>14400</v>
      </c>
      <c r="G16" s="27">
        <f>F16*0.17</f>
        <v>2448</v>
      </c>
      <c r="H16" s="39">
        <f>E16*1.17</f>
        <v>561.59999999999991</v>
      </c>
      <c r="I16" s="27">
        <f>H16*D16</f>
        <v>16847.999999999996</v>
      </c>
      <c r="J16" s="28"/>
    </row>
    <row r="17" spans="1:10" s="21" customFormat="1" x14ac:dyDescent="0.25">
      <c r="A17" s="22">
        <f>A16+1</f>
        <v>2</v>
      </c>
      <c r="B17" s="23" t="s">
        <v>1107</v>
      </c>
      <c r="C17" s="24" t="s">
        <v>269</v>
      </c>
      <c r="D17" s="25">
        <v>2</v>
      </c>
      <c r="E17" s="26">
        <v>580</v>
      </c>
      <c r="F17" s="27">
        <f t="shared" si="0"/>
        <v>1160</v>
      </c>
      <c r="G17" s="27">
        <f>F17*0.17</f>
        <v>197.20000000000002</v>
      </c>
      <c r="H17" s="39">
        <f>E17*1.17</f>
        <v>678.59999999999991</v>
      </c>
      <c r="I17" s="27">
        <f>H17*D17</f>
        <v>1357.1999999999998</v>
      </c>
      <c r="J17" s="28"/>
    </row>
    <row r="18" spans="1:10" s="21" customFormat="1" x14ac:dyDescent="0.25">
      <c r="A18" s="22"/>
      <c r="B18" s="23"/>
      <c r="C18" s="24"/>
      <c r="D18" s="25"/>
      <c r="E18" s="26"/>
      <c r="F18" s="27">
        <f t="shared" si="0"/>
        <v>0</v>
      </c>
      <c r="G18" s="27">
        <f t="shared" ref="G18" si="1">F18*0.17</f>
        <v>0</v>
      </c>
      <c r="H18" s="39">
        <f t="shared" ref="H18" si="2">E18*1.17</f>
        <v>0</v>
      </c>
      <c r="I18" s="27">
        <f t="shared" ref="I18" si="3">H18*D18</f>
        <v>0</v>
      </c>
      <c r="J18" s="28"/>
    </row>
    <row r="19" spans="1:10" ht="15.75" thickBot="1" x14ac:dyDescent="0.3">
      <c r="A19" s="33"/>
      <c r="B19" s="34" t="s">
        <v>24</v>
      </c>
      <c r="C19" s="35"/>
      <c r="D19" s="36">
        <f>SUM(D16:D18)</f>
        <v>32</v>
      </c>
      <c r="E19" s="35"/>
      <c r="F19" s="36">
        <f>SUM(F16:F18)</f>
        <v>15560</v>
      </c>
      <c r="G19" s="36">
        <f>SUM(G16:G18)</f>
        <v>2645.2</v>
      </c>
      <c r="H19" s="35"/>
      <c r="I19" s="36">
        <f>SUM(I16:I18)</f>
        <v>18205.199999999997</v>
      </c>
      <c r="J19" s="37"/>
    </row>
    <row r="20" spans="1:10" ht="15.75" thickTop="1" x14ac:dyDescent="0.25">
      <c r="A20" s="33"/>
      <c r="B20" s="34" t="s">
        <v>1108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27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mergeCells count="5">
    <mergeCell ref="A6:J6"/>
    <mergeCell ref="I7:J7"/>
    <mergeCell ref="I8:J8"/>
    <mergeCell ref="I9:J9"/>
    <mergeCell ref="B22:J22"/>
  </mergeCells>
  <hyperlinks>
    <hyperlink ref="H5" r:id="rId1" xr:uid="{38C78E9F-7502-47B8-B689-EDED09F35CE8}"/>
  </hyperlinks>
  <pageMargins left="0.2" right="0.1" top="0.25" bottom="0.25" header="0.3" footer="0.3"/>
  <pageSetup paperSize="9" orientation="portrait" r:id="rId2"/>
  <drawing r:id="rId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88B33-5056-49F5-8BFB-7BCF8EF398AE}">
  <dimension ref="A1:R30"/>
  <sheetViews>
    <sheetView topLeftCell="A5" workbookViewId="0">
      <selection activeCell="D23" sqref="D2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1093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1096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1103</v>
      </c>
      <c r="J9" s="188"/>
    </row>
    <row r="10" spans="1:15" x14ac:dyDescent="0.25">
      <c r="B10" t="s">
        <v>9</v>
      </c>
      <c r="C10" s="10" t="s">
        <v>754</v>
      </c>
      <c r="D10" s="10"/>
      <c r="E10" s="10"/>
      <c r="F10" s="10"/>
    </row>
    <row r="11" spans="1:15" x14ac:dyDescent="0.25">
      <c r="B11" t="s">
        <v>11</v>
      </c>
      <c r="C11" s="10" t="s">
        <v>755</v>
      </c>
      <c r="D11" s="11"/>
      <c r="E11" s="11"/>
      <c r="F11" s="11"/>
    </row>
    <row r="12" spans="1:15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1097</v>
      </c>
      <c r="C16" s="53" t="s">
        <v>76</v>
      </c>
      <c r="D16" s="79">
        <v>10</v>
      </c>
      <c r="E16" s="56">
        <v>120</v>
      </c>
      <c r="F16" s="56">
        <f>D16*E16</f>
        <v>1200</v>
      </c>
      <c r="G16" s="56">
        <f t="shared" ref="G16:G21" si="0">F16*0.17</f>
        <v>204.00000000000003</v>
      </c>
      <c r="H16" s="74">
        <f t="shared" ref="H16:H21" si="1">E16*1.17</f>
        <v>140.39999999999998</v>
      </c>
      <c r="I16" s="56">
        <f>H16*D16</f>
        <v>1403.9999999999998</v>
      </c>
      <c r="J16" s="83"/>
      <c r="M16" s="21">
        <f t="shared" ref="M16:M21" si="2">440*1.02</f>
        <v>448.8</v>
      </c>
      <c r="N16" s="66" t="e">
        <f>M16-#REF!</f>
        <v>#REF!</v>
      </c>
      <c r="O16" s="21" t="e">
        <f t="shared" ref="O16:O21" si="3">N16*D16</f>
        <v>#REF!</v>
      </c>
    </row>
    <row r="17" spans="1:18" s="21" customFormat="1" ht="15.75" x14ac:dyDescent="0.25">
      <c r="A17" s="53">
        <f>A16+1</f>
        <v>2</v>
      </c>
      <c r="B17" s="78" t="s">
        <v>889</v>
      </c>
      <c r="C17" s="53" t="s">
        <v>23</v>
      </c>
      <c r="D17" s="79">
        <v>30</v>
      </c>
      <c r="E17" s="56">
        <v>350</v>
      </c>
      <c r="F17" s="56">
        <f t="shared" ref="F17:F21" si="4">D17*E17</f>
        <v>10500</v>
      </c>
      <c r="G17" s="56">
        <f t="shared" si="0"/>
        <v>1785.0000000000002</v>
      </c>
      <c r="H17" s="74">
        <f t="shared" si="1"/>
        <v>409.5</v>
      </c>
      <c r="I17" s="56">
        <f t="shared" ref="I17:I21" si="5">H17*D17</f>
        <v>12285</v>
      </c>
      <c r="J17" s="83"/>
      <c r="N17" s="66"/>
    </row>
    <row r="18" spans="1:18" s="21" customFormat="1" ht="15.75" x14ac:dyDescent="0.25">
      <c r="A18" s="53">
        <f t="shared" ref="A18:A20" si="6">A17+1</f>
        <v>3</v>
      </c>
      <c r="B18" s="78" t="s">
        <v>1098</v>
      </c>
      <c r="C18" s="53" t="s">
        <v>192</v>
      </c>
      <c r="D18" s="79">
        <v>6</v>
      </c>
      <c r="E18" s="56">
        <v>48</v>
      </c>
      <c r="F18" s="56">
        <f t="shared" si="4"/>
        <v>288</v>
      </c>
      <c r="G18" s="56">
        <f t="shared" si="0"/>
        <v>48.96</v>
      </c>
      <c r="H18" s="74">
        <f t="shared" si="1"/>
        <v>56.16</v>
      </c>
      <c r="I18" s="56">
        <f t="shared" si="5"/>
        <v>336.96</v>
      </c>
      <c r="J18" s="83"/>
      <c r="N18" s="66"/>
    </row>
    <row r="19" spans="1:18" s="21" customFormat="1" ht="15.75" x14ac:dyDescent="0.25">
      <c r="A19" s="53">
        <f t="shared" si="6"/>
        <v>4</v>
      </c>
      <c r="B19" s="78" t="s">
        <v>1099</v>
      </c>
      <c r="C19" s="53" t="s">
        <v>192</v>
      </c>
      <c r="D19" s="79">
        <v>5</v>
      </c>
      <c r="E19" s="56">
        <v>65</v>
      </c>
      <c r="F19" s="56">
        <f t="shared" si="4"/>
        <v>325</v>
      </c>
      <c r="G19" s="56">
        <f t="shared" si="0"/>
        <v>55.250000000000007</v>
      </c>
      <c r="H19" s="74">
        <f t="shared" si="1"/>
        <v>76.05</v>
      </c>
      <c r="I19" s="56">
        <f t="shared" si="5"/>
        <v>380.25</v>
      </c>
      <c r="J19" s="83"/>
      <c r="N19" s="66"/>
    </row>
    <row r="20" spans="1:18" s="21" customFormat="1" ht="15.75" x14ac:dyDescent="0.25">
      <c r="A20" s="53">
        <f t="shared" si="6"/>
        <v>5</v>
      </c>
      <c r="B20" s="78" t="s">
        <v>1100</v>
      </c>
      <c r="C20" s="53" t="s">
        <v>1101</v>
      </c>
      <c r="D20" s="79">
        <v>30</v>
      </c>
      <c r="E20" s="56">
        <v>60</v>
      </c>
      <c r="F20" s="56">
        <f t="shared" si="4"/>
        <v>1800</v>
      </c>
      <c r="G20" s="56">
        <f t="shared" si="0"/>
        <v>306</v>
      </c>
      <c r="H20" s="74">
        <f t="shared" si="1"/>
        <v>70.199999999999989</v>
      </c>
      <c r="I20" s="56">
        <f t="shared" si="5"/>
        <v>2105.9999999999995</v>
      </c>
      <c r="J20" s="83"/>
      <c r="N20" s="66"/>
    </row>
    <row r="21" spans="1:18" s="21" customFormat="1" x14ac:dyDescent="0.25">
      <c r="A21" s="53"/>
      <c r="B21" s="47"/>
      <c r="C21" s="82"/>
      <c r="D21" s="57"/>
      <c r="E21" s="56"/>
      <c r="F21" s="56">
        <f t="shared" si="4"/>
        <v>0</v>
      </c>
      <c r="G21" s="56">
        <f t="shared" si="0"/>
        <v>0</v>
      </c>
      <c r="H21" s="57">
        <f t="shared" si="1"/>
        <v>0</v>
      </c>
      <c r="I21" s="56">
        <f t="shared" si="5"/>
        <v>0</v>
      </c>
      <c r="J21" s="58"/>
      <c r="M21" s="21">
        <f t="shared" si="2"/>
        <v>448.8</v>
      </c>
      <c r="N21" s="66" t="e">
        <f>M21-#REF!</f>
        <v>#REF!</v>
      </c>
      <c r="O21" s="21" t="e">
        <f t="shared" si="3"/>
        <v>#REF!</v>
      </c>
    </row>
    <row r="22" spans="1:18" ht="15.75" thickBot="1" x14ac:dyDescent="0.3">
      <c r="A22" s="33"/>
      <c r="B22" s="34" t="s">
        <v>24</v>
      </c>
      <c r="C22" s="35"/>
      <c r="D22" s="62">
        <f>SUM(D16:D21)</f>
        <v>81</v>
      </c>
      <c r="E22" s="35"/>
      <c r="F22" s="62">
        <f>SUM(F16:F21)</f>
        <v>14113</v>
      </c>
      <c r="G22" s="62">
        <f>SUM(G16:G21)</f>
        <v>2399.2100000000005</v>
      </c>
      <c r="H22" s="35"/>
      <c r="I22" s="62">
        <f>SUM(I16:I21)</f>
        <v>16512.21</v>
      </c>
      <c r="J22" s="37"/>
      <c r="M22" t="e">
        <f>#REF!/117*100</f>
        <v>#REF!</v>
      </c>
      <c r="O22" t="e">
        <f>M22*1.1</f>
        <v>#REF!</v>
      </c>
    </row>
    <row r="23" spans="1:18" ht="15.75" thickTop="1" x14ac:dyDescent="0.25">
      <c r="A23" s="33"/>
      <c r="B23" s="34" t="s">
        <v>1102</v>
      </c>
      <c r="C23" s="35"/>
      <c r="D23" s="35"/>
      <c r="E23" s="35"/>
      <c r="F23" s="35"/>
      <c r="G23" s="35"/>
      <c r="H23" s="35"/>
      <c r="I23" s="35"/>
      <c r="J23" s="37"/>
    </row>
    <row r="24" spans="1:18" x14ac:dyDescent="0.25">
      <c r="A24" s="33"/>
      <c r="B24" s="38" t="s">
        <v>25</v>
      </c>
      <c r="C24" s="35"/>
      <c r="D24" s="35"/>
      <c r="E24" s="35"/>
      <c r="F24" s="35"/>
      <c r="G24" s="35"/>
      <c r="H24" s="35"/>
      <c r="I24" s="35"/>
      <c r="J24" s="37"/>
      <c r="M24" s="64" t="e">
        <f>M22*#REF!</f>
        <v>#REF!</v>
      </c>
      <c r="O24" s="65" t="e">
        <f>#REF!</f>
        <v>#REF!</v>
      </c>
      <c r="P24" s="64" t="e">
        <f>O24-M24</f>
        <v>#REF!</v>
      </c>
      <c r="Q24" s="64" t="e">
        <f>#REF!*0.045</f>
        <v>#REF!</v>
      </c>
      <c r="R24" s="64" t="e">
        <f>P24-Q24</f>
        <v>#REF!</v>
      </c>
    </row>
    <row r="25" spans="1:18" ht="30" customHeight="1" x14ac:dyDescent="0.25">
      <c r="B25" s="183" t="s">
        <v>26</v>
      </c>
      <c r="C25" s="183"/>
      <c r="D25" s="183"/>
      <c r="E25" s="183"/>
      <c r="F25" s="183"/>
      <c r="G25" s="183"/>
      <c r="H25" s="183"/>
      <c r="I25" s="183"/>
      <c r="J25" s="183"/>
      <c r="P25" s="64"/>
      <c r="R25" s="65" t="e">
        <f>#REF!-#REF!</f>
        <v>#REF!</v>
      </c>
    </row>
    <row r="26" spans="1:18" x14ac:dyDescent="0.25">
      <c r="B26" t="s">
        <v>634</v>
      </c>
    </row>
    <row r="29" spans="1:18" x14ac:dyDescent="0.25">
      <c r="B29" t="s">
        <v>28</v>
      </c>
      <c r="H29" t="s">
        <v>28</v>
      </c>
    </row>
    <row r="30" spans="1:18" x14ac:dyDescent="0.25">
      <c r="B30" t="s">
        <v>29</v>
      </c>
      <c r="H30" t="s">
        <v>30</v>
      </c>
    </row>
  </sheetData>
  <autoFilter ref="A15:J26" xr:uid="{00000000-0009-0000-0000-000000000000}"/>
  <mergeCells count="5">
    <mergeCell ref="A6:J6"/>
    <mergeCell ref="I7:J7"/>
    <mergeCell ref="I8:J8"/>
    <mergeCell ref="I9:J9"/>
    <mergeCell ref="B25:J25"/>
  </mergeCells>
  <hyperlinks>
    <hyperlink ref="H5" r:id="rId1" xr:uid="{BA1D659D-39E6-4E61-B9C1-1BD384A1572B}"/>
  </hyperlinks>
  <pageMargins left="0.2" right="0.1" top="0.25" bottom="0.25" header="0.3" footer="0.3"/>
  <pageSetup paperSize="9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98095-BE67-4DED-9A5E-063B28A2AE1C}">
  <sheetPr filterMode="1"/>
  <dimension ref="A1:R37"/>
  <sheetViews>
    <sheetView topLeftCell="A8" workbookViewId="0">
      <selection activeCell="F17" sqref="F17:F2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2268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hidden="1" x14ac:dyDescent="0.25">
      <c r="A16" s="53">
        <v>1</v>
      </c>
      <c r="B16" s="78" t="s">
        <v>1486</v>
      </c>
      <c r="C16" s="53" t="s">
        <v>1506</v>
      </c>
      <c r="D16" s="79">
        <v>5</v>
      </c>
      <c r="E16" s="56">
        <v>90</v>
      </c>
      <c r="F16" s="56">
        <f t="shared" ref="F16:F27" si="0">D16*E16</f>
        <v>450</v>
      </c>
      <c r="G16" s="149">
        <f t="shared" ref="G16:G27" si="1">F16*0.17</f>
        <v>76.5</v>
      </c>
      <c r="H16" s="85">
        <f t="shared" ref="H16:H27" si="2">E16*1.17</f>
        <v>105.3</v>
      </c>
      <c r="I16" s="56">
        <f t="shared" ref="I16:I27" si="3">H16*D16</f>
        <v>526.5</v>
      </c>
      <c r="J16" s="83"/>
      <c r="N16" s="66"/>
    </row>
    <row r="17" spans="1:18" s="21" customFormat="1" ht="25.5" x14ac:dyDescent="0.25">
      <c r="A17" s="53">
        <v>2</v>
      </c>
      <c r="B17" s="78" t="s">
        <v>1513</v>
      </c>
      <c r="C17" s="53" t="s">
        <v>1505</v>
      </c>
      <c r="D17" s="79">
        <v>6</v>
      </c>
      <c r="E17" s="56">
        <v>75</v>
      </c>
      <c r="F17" s="56">
        <f t="shared" si="0"/>
        <v>450</v>
      </c>
      <c r="G17" s="149">
        <f>F17*0</f>
        <v>0</v>
      </c>
      <c r="H17" s="85">
        <f>E17*1</f>
        <v>75</v>
      </c>
      <c r="I17" s="56">
        <f t="shared" si="3"/>
        <v>450</v>
      </c>
      <c r="J17" s="83"/>
      <c r="N17" s="66"/>
    </row>
    <row r="18" spans="1:18" s="21" customFormat="1" ht="15.75" hidden="1" x14ac:dyDescent="0.25">
      <c r="A18" s="53">
        <v>3</v>
      </c>
      <c r="B18" s="78" t="s">
        <v>1527</v>
      </c>
      <c r="C18" s="53" t="s">
        <v>23</v>
      </c>
      <c r="D18" s="79">
        <v>4</v>
      </c>
      <c r="E18" s="56">
        <v>28</v>
      </c>
      <c r="F18" s="56">
        <f t="shared" si="0"/>
        <v>112</v>
      </c>
      <c r="G18" s="149">
        <f t="shared" si="1"/>
        <v>19.040000000000003</v>
      </c>
      <c r="H18" s="85">
        <f t="shared" si="2"/>
        <v>32.76</v>
      </c>
      <c r="I18" s="56">
        <f t="shared" si="3"/>
        <v>131.04</v>
      </c>
      <c r="J18" s="83"/>
      <c r="N18" s="66"/>
    </row>
    <row r="19" spans="1:18" s="21" customFormat="1" ht="25.5" hidden="1" x14ac:dyDescent="0.25">
      <c r="A19" s="53">
        <v>4</v>
      </c>
      <c r="B19" s="78" t="s">
        <v>1518</v>
      </c>
      <c r="C19" s="53" t="s">
        <v>1505</v>
      </c>
      <c r="D19" s="79">
        <v>2</v>
      </c>
      <c r="E19" s="56">
        <v>25</v>
      </c>
      <c r="F19" s="56">
        <f t="shared" si="0"/>
        <v>50</v>
      </c>
      <c r="G19" s="149">
        <f t="shared" si="1"/>
        <v>8.5</v>
      </c>
      <c r="H19" s="85">
        <f t="shared" si="2"/>
        <v>29.25</v>
      </c>
      <c r="I19" s="56">
        <f t="shared" si="3"/>
        <v>58.5</v>
      </c>
      <c r="J19" s="83"/>
      <c r="N19" s="66"/>
    </row>
    <row r="20" spans="1:18" s="21" customFormat="1" ht="15.75" hidden="1" x14ac:dyDescent="0.25">
      <c r="A20" s="53">
        <v>5</v>
      </c>
      <c r="B20" s="78" t="s">
        <v>1495</v>
      </c>
      <c r="C20" s="53" t="s">
        <v>1506</v>
      </c>
      <c r="D20" s="79">
        <v>1</v>
      </c>
      <c r="E20" s="56">
        <v>110</v>
      </c>
      <c r="F20" s="56">
        <f t="shared" si="0"/>
        <v>110</v>
      </c>
      <c r="G20" s="149">
        <f t="shared" si="1"/>
        <v>18.700000000000003</v>
      </c>
      <c r="H20" s="85">
        <f t="shared" si="2"/>
        <v>128.69999999999999</v>
      </c>
      <c r="I20" s="56">
        <f t="shared" si="3"/>
        <v>128.69999999999999</v>
      </c>
      <c r="J20" s="83"/>
      <c r="N20" s="66"/>
    </row>
    <row r="21" spans="1:18" s="21" customFormat="1" ht="25.5" hidden="1" x14ac:dyDescent="0.25">
      <c r="A21" s="53">
        <v>6</v>
      </c>
      <c r="B21" s="78" t="s">
        <v>1496</v>
      </c>
      <c r="C21" s="53" t="s">
        <v>1506</v>
      </c>
      <c r="D21" s="79">
        <v>2</v>
      </c>
      <c r="E21" s="56">
        <v>30</v>
      </c>
      <c r="F21" s="56">
        <f t="shared" si="0"/>
        <v>60</v>
      </c>
      <c r="G21" s="149">
        <f t="shared" si="1"/>
        <v>10.200000000000001</v>
      </c>
      <c r="H21" s="85">
        <f t="shared" si="2"/>
        <v>35.099999999999994</v>
      </c>
      <c r="I21" s="56">
        <f t="shared" si="3"/>
        <v>70.199999999999989</v>
      </c>
      <c r="J21" s="83"/>
      <c r="N21" s="66"/>
    </row>
    <row r="22" spans="1:18" s="21" customFormat="1" ht="15.75" hidden="1" x14ac:dyDescent="0.25">
      <c r="A22" s="53">
        <v>7</v>
      </c>
      <c r="B22" s="78" t="s">
        <v>1544</v>
      </c>
      <c r="C22" s="53" t="s">
        <v>1506</v>
      </c>
      <c r="D22" s="79">
        <v>2</v>
      </c>
      <c r="E22" s="56">
        <v>100</v>
      </c>
      <c r="F22" s="56">
        <f t="shared" si="0"/>
        <v>200</v>
      </c>
      <c r="G22" s="149">
        <f t="shared" si="1"/>
        <v>34</v>
      </c>
      <c r="H22" s="85">
        <f t="shared" si="2"/>
        <v>117</v>
      </c>
      <c r="I22" s="56">
        <f t="shared" si="3"/>
        <v>234</v>
      </c>
      <c r="J22" s="83"/>
      <c r="N22" s="66"/>
    </row>
    <row r="23" spans="1:18" s="21" customFormat="1" ht="15.75" x14ac:dyDescent="0.25">
      <c r="A23" s="53">
        <v>8</v>
      </c>
      <c r="B23" s="78" t="s">
        <v>1949</v>
      </c>
      <c r="C23" s="53" t="s">
        <v>76</v>
      </c>
      <c r="D23" s="79">
        <v>5</v>
      </c>
      <c r="E23" s="56">
        <v>75</v>
      </c>
      <c r="F23" s="56">
        <f t="shared" si="0"/>
        <v>375</v>
      </c>
      <c r="G23" s="149">
        <f t="shared" ref="G23:G24" si="4">F23*0</f>
        <v>0</v>
      </c>
      <c r="H23" s="85">
        <f t="shared" ref="H23:H24" si="5">E23*1</f>
        <v>75</v>
      </c>
      <c r="I23" s="56">
        <f t="shared" si="3"/>
        <v>375</v>
      </c>
      <c r="J23" s="83"/>
      <c r="N23" s="66"/>
    </row>
    <row r="24" spans="1:18" s="21" customFormat="1" ht="15.75" x14ac:dyDescent="0.25">
      <c r="A24" s="53">
        <v>9</v>
      </c>
      <c r="B24" s="78" t="s">
        <v>2242</v>
      </c>
      <c r="C24" s="53" t="s">
        <v>23</v>
      </c>
      <c r="D24" s="79">
        <v>3</v>
      </c>
      <c r="E24" s="56">
        <v>115</v>
      </c>
      <c r="F24" s="56">
        <f t="shared" si="0"/>
        <v>345</v>
      </c>
      <c r="G24" s="149">
        <f t="shared" si="4"/>
        <v>0</v>
      </c>
      <c r="H24" s="85">
        <f t="shared" si="5"/>
        <v>115</v>
      </c>
      <c r="I24" s="56">
        <f t="shared" si="3"/>
        <v>345</v>
      </c>
      <c r="J24" s="83"/>
      <c r="N24" s="66"/>
    </row>
    <row r="25" spans="1:18" s="21" customFormat="1" ht="15.75" hidden="1" x14ac:dyDescent="0.25">
      <c r="A25" s="53">
        <v>10</v>
      </c>
      <c r="B25" s="78" t="s">
        <v>966</v>
      </c>
      <c r="C25" s="53" t="s">
        <v>23</v>
      </c>
      <c r="D25" s="79">
        <v>2</v>
      </c>
      <c r="E25" s="56">
        <v>18</v>
      </c>
      <c r="F25" s="56">
        <f t="shared" si="0"/>
        <v>36</v>
      </c>
      <c r="G25" s="149">
        <f t="shared" si="1"/>
        <v>6.12</v>
      </c>
      <c r="H25" s="85">
        <f t="shared" si="2"/>
        <v>21.06</v>
      </c>
      <c r="I25" s="56">
        <f t="shared" si="3"/>
        <v>42.12</v>
      </c>
      <c r="J25" s="83"/>
      <c r="N25" s="66"/>
    </row>
    <row r="26" spans="1:18" s="21" customFormat="1" ht="15.75" hidden="1" x14ac:dyDescent="0.25">
      <c r="A26" s="53">
        <v>11</v>
      </c>
      <c r="B26" s="78" t="s">
        <v>2245</v>
      </c>
      <c r="C26" s="53" t="s">
        <v>23</v>
      </c>
      <c r="D26" s="79">
        <v>1</v>
      </c>
      <c r="E26" s="56">
        <v>25</v>
      </c>
      <c r="F26" s="56">
        <f t="shared" si="0"/>
        <v>25</v>
      </c>
      <c r="G26" s="149">
        <f t="shared" si="1"/>
        <v>4.25</v>
      </c>
      <c r="H26" s="85">
        <f t="shared" si="2"/>
        <v>29.25</v>
      </c>
      <c r="I26" s="56">
        <f t="shared" si="3"/>
        <v>29.25</v>
      </c>
      <c r="J26" s="83"/>
      <c r="N26" s="66"/>
    </row>
    <row r="27" spans="1:18" s="21" customFormat="1" ht="15.75" hidden="1" x14ac:dyDescent="0.25">
      <c r="A27" s="53">
        <v>12</v>
      </c>
      <c r="B27" s="78" t="s">
        <v>2248</v>
      </c>
      <c r="C27" s="53" t="s">
        <v>23</v>
      </c>
      <c r="D27" s="79">
        <v>2</v>
      </c>
      <c r="E27" s="56">
        <v>210</v>
      </c>
      <c r="F27" s="56">
        <f t="shared" si="0"/>
        <v>420</v>
      </c>
      <c r="G27" s="149">
        <f t="shared" si="1"/>
        <v>71.400000000000006</v>
      </c>
      <c r="H27" s="85">
        <f t="shared" si="2"/>
        <v>245.7</v>
      </c>
      <c r="I27" s="56">
        <f t="shared" si="3"/>
        <v>491.4</v>
      </c>
      <c r="J27" s="83"/>
      <c r="N27" s="66"/>
    </row>
    <row r="28" spans="1:18" s="21" customFormat="1" ht="15.75" hidden="1" x14ac:dyDescent="0.25">
      <c r="A28" s="53"/>
      <c r="B28" s="78"/>
      <c r="C28" s="53"/>
      <c r="D28" s="79"/>
      <c r="E28" s="56"/>
      <c r="F28" s="56"/>
      <c r="G28" s="149"/>
      <c r="H28" s="85"/>
      <c r="I28" s="56"/>
      <c r="J28" s="83"/>
      <c r="N28" s="66"/>
    </row>
    <row r="29" spans="1:18" ht="15.75" hidden="1" thickBot="1" x14ac:dyDescent="0.3">
      <c r="A29" s="33"/>
      <c r="B29" s="34" t="s">
        <v>24</v>
      </c>
      <c r="C29" s="35"/>
      <c r="D29" s="62">
        <f>SUM(D16:D28)</f>
        <v>35</v>
      </c>
      <c r="E29" s="35"/>
      <c r="F29" s="62">
        <f>SUM(F16:F28)</f>
        <v>2633</v>
      </c>
      <c r="G29" s="62">
        <f>SUM(G16:G28)</f>
        <v>248.71</v>
      </c>
      <c r="H29" s="35"/>
      <c r="I29" s="62">
        <f>SUM(I16:I28)</f>
        <v>2881.71</v>
      </c>
      <c r="J29" s="37"/>
    </row>
    <row r="30" spans="1:18" hidden="1" x14ac:dyDescent="0.25">
      <c r="A30" s="33"/>
      <c r="B30" s="34" t="s">
        <v>2269</v>
      </c>
      <c r="C30" s="35"/>
      <c r="D30" s="35"/>
      <c r="E30" s="35"/>
      <c r="F30" s="35"/>
      <c r="G30" s="35"/>
      <c r="H30" s="35"/>
      <c r="I30" s="35"/>
      <c r="J30" s="37"/>
    </row>
    <row r="31" spans="1:18" hidden="1" x14ac:dyDescent="0.25">
      <c r="A31" s="33"/>
      <c r="B31" s="38" t="s">
        <v>25</v>
      </c>
      <c r="C31" s="35"/>
      <c r="D31" s="35"/>
      <c r="E31" s="35"/>
      <c r="F31" s="35"/>
      <c r="G31" s="35"/>
      <c r="H31" s="35"/>
      <c r="I31" s="35"/>
      <c r="J31" s="37"/>
      <c r="M31" s="64"/>
      <c r="O31" s="65"/>
      <c r="P31" s="64"/>
      <c r="Q31" s="64"/>
      <c r="R31" s="64"/>
    </row>
    <row r="32" spans="1:18" ht="30" hidden="1" customHeight="1" x14ac:dyDescent="0.25">
      <c r="B32" s="183" t="s">
        <v>26</v>
      </c>
      <c r="C32" s="183"/>
      <c r="D32" s="183"/>
      <c r="E32" s="183"/>
      <c r="F32" s="183"/>
      <c r="G32" s="183"/>
      <c r="H32" s="183"/>
      <c r="I32" s="183"/>
      <c r="J32" s="183"/>
      <c r="P32" s="64"/>
      <c r="R32" s="65"/>
    </row>
    <row r="33" spans="2:8" hidden="1" x14ac:dyDescent="0.25">
      <c r="B33" t="s">
        <v>634</v>
      </c>
    </row>
    <row r="36" spans="2:8" x14ac:dyDescent="0.25">
      <c r="B36" t="s">
        <v>28</v>
      </c>
      <c r="H36" t="s">
        <v>28</v>
      </c>
    </row>
    <row r="37" spans="2:8" x14ac:dyDescent="0.25">
      <c r="B37" t="s">
        <v>29</v>
      </c>
      <c r="H37" t="s">
        <v>30</v>
      </c>
    </row>
  </sheetData>
  <autoFilter ref="A15:J33" xr:uid="{00000000-0009-0000-0000-000000000000}">
    <filterColumn colId="6">
      <filters>
        <filter val="-"/>
      </filters>
    </filterColumn>
  </autoFilter>
  <mergeCells count="5">
    <mergeCell ref="A6:J6"/>
    <mergeCell ref="I7:J7"/>
    <mergeCell ref="I8:J8"/>
    <mergeCell ref="I9:J9"/>
    <mergeCell ref="B32:J32"/>
  </mergeCells>
  <hyperlinks>
    <hyperlink ref="H5" r:id="rId1" xr:uid="{037F5BBE-6046-4D02-8797-074C5D8AFE44}"/>
  </hyperlinks>
  <pageMargins left="0.2" right="0.1" top="0.25" bottom="0.25" header="0.3" footer="0.3"/>
  <pageSetup paperSize="9" orientation="portrait" r:id="rId2"/>
  <drawing r:id="rId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79C26-8E47-4EF6-8DC7-7B3CAE196AF3}">
  <dimension ref="A1:R27"/>
  <sheetViews>
    <sheetView topLeftCell="A4" workbookViewId="0">
      <selection activeCell="C9" sqref="C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1093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1092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601</v>
      </c>
      <c r="D10" s="10"/>
      <c r="E10" s="10"/>
      <c r="F10" s="10"/>
    </row>
    <row r="11" spans="1:14" x14ac:dyDescent="0.25">
      <c r="B11" t="s">
        <v>11</v>
      </c>
      <c r="C11" s="10" t="s">
        <v>875</v>
      </c>
      <c r="D11" s="11"/>
      <c r="E11" s="11"/>
      <c r="F11" s="11"/>
    </row>
    <row r="12" spans="1:14" x14ac:dyDescent="0.25">
      <c r="A12" s="12"/>
      <c r="B12" s="13"/>
      <c r="C12" s="14" t="s">
        <v>1095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4" s="21" customFormat="1" ht="15.75" x14ac:dyDescent="0.25">
      <c r="A16" s="53">
        <v>1</v>
      </c>
      <c r="B16" s="78" t="s">
        <v>1094</v>
      </c>
      <c r="C16" s="53" t="s">
        <v>23</v>
      </c>
      <c r="D16" s="79">
        <v>5</v>
      </c>
      <c r="E16" s="56">
        <v>220</v>
      </c>
      <c r="F16" s="56">
        <f t="shared" ref="F16:F18" si="0">D16*E16</f>
        <v>1100</v>
      </c>
      <c r="G16" s="56">
        <f t="shared" ref="G16:G18" si="1">F16*0.17</f>
        <v>187</v>
      </c>
      <c r="H16" s="74">
        <f>E16*1.17</f>
        <v>257.39999999999998</v>
      </c>
      <c r="I16" s="56">
        <f>H16*D16</f>
        <v>1287</v>
      </c>
      <c r="J16" s="83"/>
      <c r="N16" s="66"/>
    </row>
    <row r="17" spans="1:18" s="21" customFormat="1" ht="15.75" x14ac:dyDescent="0.25">
      <c r="A17" s="53">
        <v>2</v>
      </c>
      <c r="B17" s="78" t="s">
        <v>212</v>
      </c>
      <c r="C17" s="53" t="s">
        <v>76</v>
      </c>
      <c r="D17" s="79">
        <v>5</v>
      </c>
      <c r="E17" s="56">
        <v>85</v>
      </c>
      <c r="F17" s="56">
        <f t="shared" si="0"/>
        <v>425</v>
      </c>
      <c r="G17" s="56">
        <f t="shared" si="1"/>
        <v>72.25</v>
      </c>
      <c r="H17" s="74">
        <f t="shared" ref="H17:H18" si="2">E17*1.17</f>
        <v>99.449999999999989</v>
      </c>
      <c r="I17" s="56">
        <f t="shared" ref="I17:I18" si="3">H17*D17</f>
        <v>497.24999999999994</v>
      </c>
      <c r="J17" s="83"/>
      <c r="N17" s="66"/>
    </row>
    <row r="18" spans="1:18" s="21" customFormat="1" x14ac:dyDescent="0.25">
      <c r="A18" s="53"/>
      <c r="B18" s="47"/>
      <c r="C18" s="82"/>
      <c r="D18" s="57"/>
      <c r="E18" s="56"/>
      <c r="F18" s="56">
        <f t="shared" si="0"/>
        <v>0</v>
      </c>
      <c r="G18" s="56">
        <f t="shared" si="1"/>
        <v>0</v>
      </c>
      <c r="H18" s="57">
        <f t="shared" si="2"/>
        <v>0</v>
      </c>
      <c r="I18" s="56">
        <f t="shared" si="3"/>
        <v>0</v>
      </c>
      <c r="J18" s="58"/>
      <c r="M18" s="21">
        <f t="shared" ref="M18" si="4">440*1.02</f>
        <v>448.8</v>
      </c>
      <c r="N18" s="66" t="e">
        <f>M18-#REF!</f>
        <v>#REF!</v>
      </c>
      <c r="O18" s="21" t="e">
        <f t="shared" ref="O18" si="5">N18*D18</f>
        <v>#REF!</v>
      </c>
    </row>
    <row r="19" spans="1:18" ht="15.75" thickBot="1" x14ac:dyDescent="0.3">
      <c r="A19" s="33"/>
      <c r="B19" s="34" t="s">
        <v>24</v>
      </c>
      <c r="C19" s="35"/>
      <c r="D19" s="62">
        <f>SUM(D16:D18)</f>
        <v>10</v>
      </c>
      <c r="E19" s="35"/>
      <c r="F19" s="62">
        <f>SUM(F16:F18)</f>
        <v>1525</v>
      </c>
      <c r="G19" s="62">
        <f>SUM(G16:G18)</f>
        <v>259.25</v>
      </c>
      <c r="H19" s="35"/>
      <c r="I19" s="62">
        <f>SUM(I16:I18)</f>
        <v>1784.25</v>
      </c>
      <c r="J19" s="37"/>
      <c r="M19" t="e">
        <f>#REF!/117*100</f>
        <v>#REF!</v>
      </c>
      <c r="O19" t="e">
        <f>M19*1.1</f>
        <v>#REF!</v>
      </c>
    </row>
    <row r="20" spans="1:18" ht="15.75" thickTop="1" x14ac:dyDescent="0.25">
      <c r="A20" s="33"/>
      <c r="B20" s="34" t="s">
        <v>1109</v>
      </c>
      <c r="C20" s="35"/>
      <c r="D20" s="35"/>
      <c r="E20" s="35"/>
      <c r="F20" s="35"/>
      <c r="G20" s="35"/>
      <c r="H20" s="35"/>
      <c r="I20" s="35"/>
      <c r="J20" s="37"/>
    </row>
    <row r="21" spans="1:18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  <c r="M21" s="64" t="e">
        <f>M19*#REF!</f>
        <v>#REF!</v>
      </c>
      <c r="O21" s="65" t="e">
        <f>#REF!</f>
        <v>#REF!</v>
      </c>
      <c r="P21" s="64" t="e">
        <f>O21-M21</f>
        <v>#REF!</v>
      </c>
      <c r="Q21" s="64" t="e">
        <f>#REF!*0.045</f>
        <v>#REF!</v>
      </c>
      <c r="R21" s="64" t="e">
        <f>P21-Q21</f>
        <v>#REF!</v>
      </c>
    </row>
    <row r="22" spans="1:18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  <c r="P22" s="64"/>
      <c r="R22" s="65" t="e">
        <f>#REF!-#REF!</f>
        <v>#REF!</v>
      </c>
    </row>
    <row r="23" spans="1:18" x14ac:dyDescent="0.25">
      <c r="B23" t="s">
        <v>27</v>
      </c>
    </row>
    <row r="26" spans="1:18" x14ac:dyDescent="0.25">
      <c r="B26" t="s">
        <v>28</v>
      </c>
      <c r="H26" t="s">
        <v>28</v>
      </c>
    </row>
    <row r="27" spans="1:18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07932397-BA87-4B8B-B524-EC3014C6C4B8}"/>
  </hyperlinks>
  <pageMargins left="0.2" right="0.1" top="0.25" bottom="0.25" header="0.3" footer="0.3"/>
  <pageSetup paperSize="9" orientation="portrait" r:id="rId2"/>
  <drawing r:id="rId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3CA58-9FFE-43BC-84B7-204691687F01}">
  <dimension ref="A1:R26"/>
  <sheetViews>
    <sheetView topLeftCell="A7" workbookViewId="0">
      <selection activeCell="C10" sqref="C10:C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1088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1087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127</v>
      </c>
      <c r="D10" s="10"/>
      <c r="E10" s="10"/>
      <c r="F10" s="10"/>
    </row>
    <row r="11" spans="1:15" x14ac:dyDescent="0.25">
      <c r="B11" t="s">
        <v>11</v>
      </c>
      <c r="C11" s="10" t="s">
        <v>255</v>
      </c>
      <c r="D11" s="11"/>
      <c r="E11" s="11"/>
      <c r="F11" s="11"/>
    </row>
    <row r="12" spans="1:15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47" t="s">
        <v>1089</v>
      </c>
      <c r="C16" s="53" t="s">
        <v>23</v>
      </c>
      <c r="D16" s="79">
        <v>100</v>
      </c>
      <c r="E16" s="56">
        <v>300</v>
      </c>
      <c r="F16" s="56">
        <f>D16*E16</f>
        <v>30000</v>
      </c>
      <c r="G16" s="56">
        <f t="shared" ref="G16:G17" si="0">F16*0.17</f>
        <v>5100</v>
      </c>
      <c r="H16" s="74">
        <f t="shared" ref="H16:H17" si="1">E16*1.17</f>
        <v>351</v>
      </c>
      <c r="I16" s="56">
        <f>H16*D16</f>
        <v>35100</v>
      </c>
      <c r="J16" s="83" t="s">
        <v>1090</v>
      </c>
      <c r="M16" s="21">
        <f t="shared" ref="M16:M17" si="2">440*1.02</f>
        <v>448.8</v>
      </c>
      <c r="N16" s="66" t="e">
        <f>M16-#REF!</f>
        <v>#REF!</v>
      </c>
      <c r="O16" s="21" t="e">
        <f t="shared" ref="O16:O17" si="3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ref="F17" si="4">D17*E17</f>
        <v>0</v>
      </c>
      <c r="G17" s="56">
        <f t="shared" si="0"/>
        <v>0</v>
      </c>
      <c r="H17" s="57">
        <f t="shared" si="1"/>
        <v>0</v>
      </c>
      <c r="I17" s="56">
        <f t="shared" ref="I17" si="5">H17*D17</f>
        <v>0</v>
      </c>
      <c r="J17" s="58"/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100</v>
      </c>
      <c r="E18" s="35"/>
      <c r="F18" s="62">
        <f>SUM(F16:F17)</f>
        <v>30000</v>
      </c>
      <c r="G18" s="62">
        <f>SUM(G16:G17)</f>
        <v>5100</v>
      </c>
      <c r="H18" s="35"/>
      <c r="I18" s="62">
        <f>SUM(I16:I17)</f>
        <v>35100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1091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79D29F46-FDA7-46DE-98A3-F964510452FF}"/>
  </hyperlinks>
  <pageMargins left="0.2" right="0.1" top="0.25" bottom="0.25" header="0.3" footer="0.3"/>
  <pageSetup paperSize="9" orientation="portrait" r:id="rId2"/>
  <drawing r:id="rId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7600C-5923-43F0-8D31-044B00C87DAA}">
  <dimension ref="A1:R26"/>
  <sheetViews>
    <sheetView workbookViewId="0">
      <selection activeCell="F10" sqref="F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1076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1082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1086</v>
      </c>
      <c r="J9" s="188"/>
    </row>
    <row r="10" spans="1:15" x14ac:dyDescent="0.25">
      <c r="B10" t="s">
        <v>9</v>
      </c>
      <c r="C10" s="10" t="s">
        <v>1034</v>
      </c>
      <c r="D10" s="10"/>
      <c r="E10" s="10"/>
      <c r="F10" s="10"/>
    </row>
    <row r="11" spans="1:15" x14ac:dyDescent="0.25">
      <c r="B11" t="s">
        <v>11</v>
      </c>
      <c r="C11" s="10" t="s">
        <v>1035</v>
      </c>
      <c r="D11" s="11"/>
      <c r="E11" s="11"/>
      <c r="F11" s="11"/>
    </row>
    <row r="12" spans="1:15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1084</v>
      </c>
      <c r="C16" s="53" t="s">
        <v>23</v>
      </c>
      <c r="D16" s="79">
        <v>12</v>
      </c>
      <c r="E16" s="56">
        <v>155</v>
      </c>
      <c r="F16" s="56">
        <f>D16*E16</f>
        <v>1860</v>
      </c>
      <c r="G16" s="56">
        <f t="shared" ref="G16" si="0">F16*0.17</f>
        <v>316.20000000000005</v>
      </c>
      <c r="H16" s="74">
        <f t="shared" ref="H16" si="1">E16*1.17</f>
        <v>181.35</v>
      </c>
      <c r="I16" s="56">
        <f>H16*D16</f>
        <v>2176.1999999999998</v>
      </c>
      <c r="J16" s="83"/>
      <c r="M16" s="21">
        <f t="shared" ref="M16:M17" si="2">440*1.02</f>
        <v>448.8</v>
      </c>
      <c r="N16" s="66" t="e">
        <f>M16-#REF!</f>
        <v>#REF!</v>
      </c>
      <c r="O16" s="21" t="e">
        <f t="shared" ref="O16:O17" si="3">N16*D16</f>
        <v>#REF!</v>
      </c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12</v>
      </c>
      <c r="E18" s="35"/>
      <c r="F18" s="62">
        <f>SUM(F16:F17)</f>
        <v>1860</v>
      </c>
      <c r="G18" s="62">
        <f>SUM(G16:G17)</f>
        <v>316.20000000000005</v>
      </c>
      <c r="H18" s="35"/>
      <c r="I18" s="62">
        <f>SUM(I16:I17)</f>
        <v>2176.1999999999998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1085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29B702DE-9D91-4EC1-A472-648F2218450E}"/>
  </hyperlinks>
  <pageMargins left="0.2" right="0.1" top="0.25" bottom="0.25" header="0.3" footer="0.3"/>
  <pageSetup paperSize="9" orientation="portrait" r:id="rId2"/>
  <drawing r:id="rId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D0DE4-2A40-4682-85FB-C952BB9E35FF}">
  <dimension ref="A1:R27"/>
  <sheetViews>
    <sheetView workbookViewId="0">
      <selection activeCell="F19" sqref="F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1076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1077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1078</v>
      </c>
      <c r="J9" s="188"/>
    </row>
    <row r="10" spans="1:15" x14ac:dyDescent="0.25">
      <c r="B10" t="s">
        <v>9</v>
      </c>
      <c r="C10" s="10" t="s">
        <v>1034</v>
      </c>
      <c r="D10" s="10"/>
      <c r="E10" s="10"/>
      <c r="F10" s="10"/>
    </row>
    <row r="11" spans="1:15" x14ac:dyDescent="0.25">
      <c r="B11" t="s">
        <v>11</v>
      </c>
      <c r="C11" s="10" t="s">
        <v>1035</v>
      </c>
      <c r="D11" s="11"/>
      <c r="E11" s="11"/>
      <c r="F11" s="11"/>
    </row>
    <row r="12" spans="1:15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1079</v>
      </c>
      <c r="C16" s="53" t="s">
        <v>23</v>
      </c>
      <c r="D16" s="79">
        <v>4</v>
      </c>
      <c r="E16" s="56">
        <v>35</v>
      </c>
      <c r="F16" s="56">
        <f>D16*E16</f>
        <v>140</v>
      </c>
      <c r="G16" s="56">
        <f t="shared" ref="G16:G17" si="0">F16*0.17</f>
        <v>23.8</v>
      </c>
      <c r="H16" s="74">
        <f t="shared" ref="H16:H17" si="1">E16*1.17</f>
        <v>40.949999999999996</v>
      </c>
      <c r="I16" s="56">
        <f>H16*D16</f>
        <v>163.79999999999998</v>
      </c>
      <c r="J16" s="83"/>
      <c r="M16" s="21">
        <f t="shared" ref="M16:M18" si="2">440*1.02</f>
        <v>448.8</v>
      </c>
      <c r="N16" s="66" t="e">
        <f>M16-#REF!</f>
        <v>#REF!</v>
      </c>
      <c r="O16" s="21" t="e">
        <f t="shared" ref="O16:O18" si="3">N16*D16</f>
        <v>#REF!</v>
      </c>
    </row>
    <row r="17" spans="1:18" s="21" customFormat="1" x14ac:dyDescent="0.25">
      <c r="A17" s="53">
        <v>2</v>
      </c>
      <c r="B17" s="47" t="s">
        <v>1080</v>
      </c>
      <c r="C17" s="53" t="s">
        <v>23</v>
      </c>
      <c r="D17" s="79">
        <v>6</v>
      </c>
      <c r="E17" s="56">
        <v>500</v>
      </c>
      <c r="F17" s="56">
        <f t="shared" ref="F17" si="4">D17*E17</f>
        <v>3000</v>
      </c>
      <c r="G17" s="56">
        <f t="shared" si="0"/>
        <v>510.00000000000006</v>
      </c>
      <c r="H17" s="57">
        <f t="shared" si="1"/>
        <v>585</v>
      </c>
      <c r="I17" s="56">
        <f t="shared" ref="I17" si="5">H17*D17</f>
        <v>3510</v>
      </c>
      <c r="J17" s="58"/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s="21" customFormat="1" x14ac:dyDescent="0.25">
      <c r="A18" s="53"/>
      <c r="B18" s="47"/>
      <c r="C18" s="53"/>
      <c r="D18" s="79"/>
      <c r="E18" s="56"/>
      <c r="F18" s="56"/>
      <c r="G18" s="56"/>
      <c r="H18" s="57"/>
      <c r="I18" s="56"/>
      <c r="J18" s="58"/>
      <c r="M18" s="21">
        <f t="shared" si="2"/>
        <v>448.8</v>
      </c>
      <c r="N18" s="66" t="e">
        <f>M18-#REF!</f>
        <v>#REF!</v>
      </c>
      <c r="O18" s="21" t="e">
        <f t="shared" si="3"/>
        <v>#REF!</v>
      </c>
    </row>
    <row r="19" spans="1:18" ht="15.75" thickBot="1" x14ac:dyDescent="0.3">
      <c r="A19" s="33"/>
      <c r="B19" s="34" t="s">
        <v>24</v>
      </c>
      <c r="C19" s="35"/>
      <c r="D19" s="62">
        <f>SUM(D16:D18)</f>
        <v>10</v>
      </c>
      <c r="E19" s="35"/>
      <c r="F19" s="62">
        <f>SUM(F16:F18)</f>
        <v>3140</v>
      </c>
      <c r="G19" s="62">
        <f>SUM(G16:G18)</f>
        <v>533.80000000000007</v>
      </c>
      <c r="H19" s="35"/>
      <c r="I19" s="62">
        <f>SUM(I16:I18)</f>
        <v>3673.8</v>
      </c>
      <c r="J19" s="37"/>
      <c r="M19" t="e">
        <f>#REF!/117*100</f>
        <v>#REF!</v>
      </c>
      <c r="O19" t="e">
        <f>M19*1.1</f>
        <v>#REF!</v>
      </c>
    </row>
    <row r="20" spans="1:18" ht="15.75" thickTop="1" x14ac:dyDescent="0.25">
      <c r="A20" s="33"/>
      <c r="B20" s="34" t="s">
        <v>1081</v>
      </c>
      <c r="C20" s="35"/>
      <c r="D20" s="35"/>
      <c r="E20" s="35"/>
      <c r="F20" s="35"/>
      <c r="G20" s="35"/>
      <c r="H20" s="35"/>
      <c r="I20" s="35"/>
      <c r="J20" s="37"/>
    </row>
    <row r="21" spans="1:18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  <c r="M21" s="64" t="e">
        <f>M19*#REF!</f>
        <v>#REF!</v>
      </c>
      <c r="O21" s="65" t="e">
        <f>#REF!</f>
        <v>#REF!</v>
      </c>
      <c r="P21" s="64" t="e">
        <f>O21-M21</f>
        <v>#REF!</v>
      </c>
      <c r="Q21" s="64" t="e">
        <f>#REF!*0.045</f>
        <v>#REF!</v>
      </c>
      <c r="R21" s="64" t="e">
        <f>P21-Q21</f>
        <v>#REF!</v>
      </c>
    </row>
    <row r="22" spans="1:18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  <c r="P22" s="64"/>
      <c r="R22" s="65" t="e">
        <f>#REF!-#REF!</f>
        <v>#REF!</v>
      </c>
    </row>
    <row r="23" spans="1:18" x14ac:dyDescent="0.25">
      <c r="B23" t="s">
        <v>634</v>
      </c>
    </row>
    <row r="26" spans="1:18" x14ac:dyDescent="0.25">
      <c r="B26" t="s">
        <v>28</v>
      </c>
      <c r="H26" t="s">
        <v>28</v>
      </c>
    </row>
    <row r="27" spans="1:18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8EE29E50-E3DA-43EF-AACC-A6F89157B6DD}"/>
  </hyperlinks>
  <pageMargins left="0.2" right="0.1" top="0.25" bottom="0.25" header="0.3" footer="0.3"/>
  <pageSetup paperSize="9" orientation="portrait" r:id="rId2"/>
  <drawing r:id="rId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3E797-88DB-4855-A453-1E2EC47E67FA}">
  <dimension ref="A1:R26"/>
  <sheetViews>
    <sheetView workbookViewId="0">
      <selection activeCell="A13" sqref="A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1073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1114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127</v>
      </c>
      <c r="D10" s="10"/>
      <c r="E10" s="10"/>
      <c r="F10" s="10"/>
    </row>
    <row r="11" spans="1:15" x14ac:dyDescent="0.25">
      <c r="B11" t="s">
        <v>11</v>
      </c>
      <c r="C11" s="10" t="s">
        <v>255</v>
      </c>
      <c r="D11" s="11"/>
      <c r="E11" s="11"/>
      <c r="F11" s="11"/>
    </row>
    <row r="12" spans="1:15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47" t="s">
        <v>1074</v>
      </c>
      <c r="C16" s="53" t="s">
        <v>76</v>
      </c>
      <c r="D16" s="79">
        <v>2</v>
      </c>
      <c r="E16" s="56">
        <v>850</v>
      </c>
      <c r="F16" s="56">
        <f>D16*E16</f>
        <v>1700</v>
      </c>
      <c r="G16" s="56">
        <f t="shared" ref="G16:G17" si="0">F16*0.17</f>
        <v>289</v>
      </c>
      <c r="H16" s="74">
        <f t="shared" ref="H16:H17" si="1">E16*1.17</f>
        <v>994.49999999999989</v>
      </c>
      <c r="I16" s="56">
        <f>H16*D16</f>
        <v>1988.9999999999998</v>
      </c>
      <c r="J16" s="83"/>
      <c r="M16" s="21">
        <f t="shared" ref="M16:M17" si="2">440*1.02</f>
        <v>448.8</v>
      </c>
      <c r="N16" s="66" t="e">
        <f>M16-#REF!</f>
        <v>#REF!</v>
      </c>
      <c r="O16" s="21" t="e">
        <f t="shared" ref="O16:O17" si="3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ref="F17" si="4">D17*E17</f>
        <v>0</v>
      </c>
      <c r="G17" s="56">
        <f t="shared" si="0"/>
        <v>0</v>
      </c>
      <c r="H17" s="57">
        <f t="shared" si="1"/>
        <v>0</v>
      </c>
      <c r="I17" s="56">
        <f t="shared" ref="I17" si="5">H17*D17</f>
        <v>0</v>
      </c>
      <c r="J17" s="58"/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2</v>
      </c>
      <c r="E18" s="35"/>
      <c r="F18" s="62">
        <f>SUM(F16:F17)</f>
        <v>1700</v>
      </c>
      <c r="G18" s="62">
        <f>SUM(G16:G17)</f>
        <v>289</v>
      </c>
      <c r="H18" s="35"/>
      <c r="I18" s="62">
        <f>SUM(I16:I17)</f>
        <v>1988.9999999999998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1075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C238018E-ABD3-4026-A0C1-AAB89F6B83FC}"/>
  </hyperlinks>
  <pageMargins left="0.2" right="0.1" top="0.25" bottom="0.25" header="0.3" footer="0.3"/>
  <pageSetup paperSize="9" orientation="portrait" r:id="rId2"/>
  <drawing r:id="rId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0F740-BC81-4E11-914C-20EDC3E7C378}">
  <dimension ref="A1:J27"/>
  <sheetViews>
    <sheetView topLeftCell="A6" workbookViewId="0">
      <selection activeCell="B17" sqref="B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1056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1065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1066</v>
      </c>
      <c r="J9" s="188"/>
    </row>
    <row r="10" spans="1:10" x14ac:dyDescent="0.25">
      <c r="B10" t="s">
        <v>9</v>
      </c>
      <c r="C10" s="10" t="s">
        <v>1067</v>
      </c>
      <c r="D10" s="10"/>
      <c r="E10" s="10"/>
      <c r="F10" s="10"/>
    </row>
    <row r="11" spans="1:10" x14ac:dyDescent="0.25">
      <c r="B11" t="s">
        <v>11</v>
      </c>
      <c r="C11" s="10" t="s">
        <v>1068</v>
      </c>
      <c r="D11" s="11"/>
      <c r="E11" s="11"/>
      <c r="F11" s="11"/>
    </row>
    <row r="12" spans="1:10" x14ac:dyDescent="0.25">
      <c r="A12" s="12"/>
      <c r="B12" s="13"/>
      <c r="C12" s="14" t="s">
        <v>1069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1070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1071</v>
      </c>
      <c r="C16" s="54" t="s">
        <v>23</v>
      </c>
      <c r="D16" s="72">
        <v>5</v>
      </c>
      <c r="E16" s="56">
        <v>5700</v>
      </c>
      <c r="F16" s="56">
        <f t="shared" ref="F16:F18" si="0">D16*E16</f>
        <v>28500</v>
      </c>
      <c r="G16" s="56">
        <f>F16*0.17</f>
        <v>4845</v>
      </c>
      <c r="H16" s="84">
        <f>E16*1.17</f>
        <v>6669</v>
      </c>
      <c r="I16" s="56">
        <f t="shared" ref="I16:I18" si="1">H16*D16</f>
        <v>33345</v>
      </c>
      <c r="J16" s="58"/>
    </row>
    <row r="17" spans="1:10" s="21" customFormat="1" ht="30" x14ac:dyDescent="0.25">
      <c r="A17" s="53">
        <v>2</v>
      </c>
      <c r="B17" s="47" t="s">
        <v>1058</v>
      </c>
      <c r="C17" s="54" t="s">
        <v>23</v>
      </c>
      <c r="D17" s="72">
        <v>3</v>
      </c>
      <c r="E17" s="56">
        <v>7500</v>
      </c>
      <c r="F17" s="56">
        <f t="shared" ref="F17" si="2">D17*E17</f>
        <v>22500</v>
      </c>
      <c r="G17" s="56">
        <f>F17*0.17</f>
        <v>3825.0000000000005</v>
      </c>
      <c r="H17" s="84">
        <f>E17*1.17</f>
        <v>8775</v>
      </c>
      <c r="I17" s="56">
        <f t="shared" ref="I17" si="3">H17*D17</f>
        <v>26325</v>
      </c>
      <c r="J17" s="58"/>
    </row>
    <row r="18" spans="1:10" s="21" customFormat="1" ht="30" x14ac:dyDescent="0.25">
      <c r="A18" s="53">
        <v>3</v>
      </c>
      <c r="B18" s="47" t="s">
        <v>1002</v>
      </c>
      <c r="C18" s="54" t="s">
        <v>23</v>
      </c>
      <c r="D18" s="72">
        <v>3</v>
      </c>
      <c r="E18" s="56">
        <v>3200</v>
      </c>
      <c r="F18" s="56">
        <f t="shared" si="0"/>
        <v>9600</v>
      </c>
      <c r="G18" s="56">
        <f>F18*0.17</f>
        <v>1632.0000000000002</v>
      </c>
      <c r="H18" s="84">
        <f>E18*1.17</f>
        <v>3744</v>
      </c>
      <c r="I18" s="56">
        <f t="shared" si="1"/>
        <v>11232</v>
      </c>
      <c r="J18" s="58"/>
    </row>
    <row r="19" spans="1:10" ht="15.75" thickBot="1" x14ac:dyDescent="0.3">
      <c r="A19" s="33"/>
      <c r="B19" s="34" t="s">
        <v>24</v>
      </c>
      <c r="C19" s="35"/>
      <c r="D19" s="62">
        <f>SUM(D16:D18)</f>
        <v>11</v>
      </c>
      <c r="E19" s="35"/>
      <c r="F19" s="62">
        <f>SUM(F16:F18)</f>
        <v>60600</v>
      </c>
      <c r="G19" s="62">
        <f>SUM(G16:G18)</f>
        <v>10302</v>
      </c>
      <c r="H19" s="35"/>
      <c r="I19" s="62">
        <f>SUM(I16:I18)</f>
        <v>70902</v>
      </c>
      <c r="J19" s="37"/>
    </row>
    <row r="20" spans="1:10" ht="15.75" thickTop="1" x14ac:dyDescent="0.25">
      <c r="A20" s="33"/>
      <c r="B20" s="34" t="s">
        <v>1072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634</v>
      </c>
    </row>
    <row r="26" spans="1:10" x14ac:dyDescent="0.25">
      <c r="B26" t="s">
        <v>28</v>
      </c>
      <c r="H26" t="s">
        <v>28</v>
      </c>
    </row>
    <row r="27" spans="1:10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D9E09ECA-77A8-4E9F-9337-6A4768418B28}"/>
  </hyperlinks>
  <pageMargins left="0.2" right="0.1" top="0.25" bottom="0.25" header="0.3" footer="0.3"/>
  <pageSetup paperSize="9" orientation="portrait" r:id="rId2"/>
  <drawing r:id="rId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DEDA9-0415-448B-9019-39B0800F12DB}">
  <dimension ref="A1:J26"/>
  <sheetViews>
    <sheetView topLeftCell="A5" workbookViewId="0">
      <selection activeCell="C17" sqref="C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1056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1061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1062</v>
      </c>
      <c r="J9" s="188"/>
    </row>
    <row r="10" spans="1:10" x14ac:dyDescent="0.25">
      <c r="B10" t="s">
        <v>9</v>
      </c>
      <c r="C10" s="10" t="s">
        <v>1063</v>
      </c>
      <c r="D10" s="10"/>
      <c r="E10" s="10"/>
      <c r="F10" s="10"/>
    </row>
    <row r="11" spans="1:10" x14ac:dyDescent="0.25">
      <c r="B11" t="s">
        <v>11</v>
      </c>
      <c r="C11" s="10" t="s">
        <v>999</v>
      </c>
      <c r="D11" s="11"/>
      <c r="E11" s="11"/>
      <c r="F11" s="11"/>
    </row>
    <row r="12" spans="1:10" x14ac:dyDescent="0.25">
      <c r="A12" s="12"/>
      <c r="B12" s="13"/>
      <c r="C12" s="14" t="s">
        <v>1000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1113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1058</v>
      </c>
      <c r="C16" s="54" t="s">
        <v>23</v>
      </c>
      <c r="D16" s="72">
        <v>4</v>
      </c>
      <c r="E16" s="56">
        <v>7500</v>
      </c>
      <c r="F16" s="56">
        <f t="shared" ref="F16:F17" si="0">D16*E16</f>
        <v>30000</v>
      </c>
      <c r="G16" s="56">
        <f>F16*0.17</f>
        <v>5100</v>
      </c>
      <c r="H16" s="84">
        <f>E16*1.17</f>
        <v>8775</v>
      </c>
      <c r="I16" s="56">
        <f t="shared" ref="I16:I17" si="1">H16*D16</f>
        <v>35100</v>
      </c>
      <c r="J16" s="58"/>
    </row>
    <row r="17" spans="1:10" s="21" customFormat="1" ht="30" x14ac:dyDescent="0.25">
      <c r="A17" s="53">
        <v>2</v>
      </c>
      <c r="B17" s="47" t="s">
        <v>1002</v>
      </c>
      <c r="C17" s="54" t="s">
        <v>23</v>
      </c>
      <c r="D17" s="72">
        <v>4</v>
      </c>
      <c r="E17" s="56">
        <v>3200</v>
      </c>
      <c r="F17" s="56">
        <f t="shared" si="0"/>
        <v>12800</v>
      </c>
      <c r="G17" s="56">
        <f>F17*0.17</f>
        <v>2176</v>
      </c>
      <c r="H17" s="84">
        <f>E17*1.17</f>
        <v>3744</v>
      </c>
      <c r="I17" s="56">
        <f t="shared" si="1"/>
        <v>14976</v>
      </c>
      <c r="J17" s="58"/>
    </row>
    <row r="18" spans="1:10" ht="15.75" thickBot="1" x14ac:dyDescent="0.3">
      <c r="A18" s="33"/>
      <c r="B18" s="34" t="s">
        <v>24</v>
      </c>
      <c r="C18" s="35"/>
      <c r="D18" s="62">
        <f>SUM(D16:D17)</f>
        <v>8</v>
      </c>
      <c r="E18" s="35"/>
      <c r="F18" s="62">
        <f>SUM(F16:F17)</f>
        <v>42800</v>
      </c>
      <c r="G18" s="62">
        <f>SUM(G16:G17)</f>
        <v>7276</v>
      </c>
      <c r="H18" s="35"/>
      <c r="I18" s="62">
        <f>SUM(I16:I17)</f>
        <v>50076</v>
      </c>
      <c r="J18" s="37"/>
    </row>
    <row r="19" spans="1:10" ht="15.75" thickTop="1" x14ac:dyDescent="0.25">
      <c r="A19" s="33"/>
      <c r="B19" s="34" t="s">
        <v>1064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634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EFF96382-BBCF-4CFF-9EEA-862B26D8640D}"/>
  </hyperlinks>
  <pageMargins left="0.2" right="0.1" top="0.25" bottom="0.25" header="0.3" footer="0.3"/>
  <pageSetup paperSize="9" orientation="portrait" r:id="rId2"/>
  <drawing r:id="rId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82D2C-75E7-4CDB-A9E2-33EB65B53C6A}">
  <dimension ref="A1:J28"/>
  <sheetViews>
    <sheetView topLeftCell="A10" workbookViewId="0">
      <selection activeCell="A23" sqref="A2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1056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1055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1057</v>
      </c>
      <c r="J9" s="188"/>
    </row>
    <row r="10" spans="1:10" x14ac:dyDescent="0.25">
      <c r="B10" t="s">
        <v>9</v>
      </c>
      <c r="C10" s="10" t="s">
        <v>1008</v>
      </c>
      <c r="D10" s="10"/>
      <c r="E10" s="10"/>
      <c r="F10" s="10"/>
    </row>
    <row r="11" spans="1:10" x14ac:dyDescent="0.25">
      <c r="B11" t="s">
        <v>11</v>
      </c>
      <c r="C11" s="10" t="s">
        <v>999</v>
      </c>
      <c r="D11" s="11"/>
      <c r="E11" s="11"/>
      <c r="F11" s="11"/>
    </row>
    <row r="12" spans="1:10" x14ac:dyDescent="0.25">
      <c r="A12" s="12"/>
      <c r="B12" s="13"/>
      <c r="C12" s="14" t="s">
        <v>1000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1009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1058</v>
      </c>
      <c r="C16" s="54" t="s">
        <v>23</v>
      </c>
      <c r="D16" s="72">
        <v>5</v>
      </c>
      <c r="E16" s="56">
        <v>7500</v>
      </c>
      <c r="F16" s="56">
        <f t="shared" ref="F16:F19" si="0">D16*E16</f>
        <v>37500</v>
      </c>
      <c r="G16" s="56">
        <f>F16*0.17</f>
        <v>6375.0000000000009</v>
      </c>
      <c r="H16" s="84">
        <f>E16*1.17</f>
        <v>8775</v>
      </c>
      <c r="I16" s="56">
        <f t="shared" ref="I16:I19" si="1">H16*D16</f>
        <v>43875</v>
      </c>
      <c r="J16" s="58"/>
    </row>
    <row r="17" spans="1:10" s="21" customFormat="1" ht="30" x14ac:dyDescent="0.25">
      <c r="A17" s="53">
        <v>2</v>
      </c>
      <c r="B17" s="47" t="s">
        <v>1010</v>
      </c>
      <c r="C17" s="54" t="s">
        <v>23</v>
      </c>
      <c r="D17" s="72">
        <v>5</v>
      </c>
      <c r="E17" s="56">
        <v>3000</v>
      </c>
      <c r="F17" s="56">
        <f t="shared" si="0"/>
        <v>15000</v>
      </c>
      <c r="G17" s="56">
        <f>F17*0.17</f>
        <v>2550</v>
      </c>
      <c r="H17" s="84">
        <f>E17*1.17</f>
        <v>3510</v>
      </c>
      <c r="I17" s="56">
        <f t="shared" si="1"/>
        <v>17550</v>
      </c>
      <c r="J17" s="58"/>
    </row>
    <row r="18" spans="1:10" s="21" customFormat="1" ht="30" x14ac:dyDescent="0.25">
      <c r="A18" s="53">
        <v>3</v>
      </c>
      <c r="B18" s="47" t="s">
        <v>1059</v>
      </c>
      <c r="C18" s="54" t="s">
        <v>23</v>
      </c>
      <c r="D18" s="72">
        <v>5</v>
      </c>
      <c r="E18" s="56">
        <v>2500</v>
      </c>
      <c r="F18" s="56">
        <f t="shared" ref="F18" si="2">D18*E18</f>
        <v>12500</v>
      </c>
      <c r="G18" s="56">
        <f>F18*0.17</f>
        <v>2125</v>
      </c>
      <c r="H18" s="84">
        <f>E18*1.17</f>
        <v>2925</v>
      </c>
      <c r="I18" s="56">
        <f t="shared" ref="I18" si="3">H18*D18</f>
        <v>14625</v>
      </c>
      <c r="J18" s="58"/>
    </row>
    <row r="19" spans="1:10" s="21" customFormat="1" ht="30" x14ac:dyDescent="0.25">
      <c r="A19" s="53">
        <v>4</v>
      </c>
      <c r="B19" s="47" t="s">
        <v>1002</v>
      </c>
      <c r="C19" s="54" t="s">
        <v>23</v>
      </c>
      <c r="D19" s="72">
        <v>3</v>
      </c>
      <c r="E19" s="56">
        <v>3200</v>
      </c>
      <c r="F19" s="56">
        <f t="shared" si="0"/>
        <v>9600</v>
      </c>
      <c r="G19" s="56">
        <f>F19*0.17</f>
        <v>1632.0000000000002</v>
      </c>
      <c r="H19" s="84">
        <f>E19*1.17</f>
        <v>3744</v>
      </c>
      <c r="I19" s="56">
        <f t="shared" si="1"/>
        <v>11232</v>
      </c>
      <c r="J19" s="58"/>
    </row>
    <row r="20" spans="1:10" ht="15.75" thickBot="1" x14ac:dyDescent="0.3">
      <c r="A20" s="33"/>
      <c r="B20" s="34" t="s">
        <v>24</v>
      </c>
      <c r="C20" s="35"/>
      <c r="D20" s="62">
        <f>SUM(D16:D19)</f>
        <v>18</v>
      </c>
      <c r="E20" s="35"/>
      <c r="F20" s="62">
        <f>SUM(F16:F19)</f>
        <v>74600</v>
      </c>
      <c r="G20" s="62">
        <f>SUM(G16:G19)</f>
        <v>12682</v>
      </c>
      <c r="H20" s="35"/>
      <c r="I20" s="62">
        <f>SUM(I16:I19)</f>
        <v>87282</v>
      </c>
      <c r="J20" s="37"/>
    </row>
    <row r="21" spans="1:10" ht="15.75" thickTop="1" x14ac:dyDescent="0.25">
      <c r="A21" s="33"/>
      <c r="B21" s="34" t="s">
        <v>1060</v>
      </c>
      <c r="C21" s="35"/>
      <c r="D21" s="35"/>
      <c r="E21" s="35"/>
      <c r="F21" s="35"/>
      <c r="G21" s="35"/>
      <c r="H21" s="35"/>
      <c r="I21" s="35"/>
      <c r="J21" s="37"/>
    </row>
    <row r="22" spans="1:10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</row>
    <row r="23" spans="1:10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</row>
    <row r="24" spans="1:10" x14ac:dyDescent="0.25">
      <c r="B24" t="s">
        <v>634</v>
      </c>
    </row>
    <row r="27" spans="1:10" x14ac:dyDescent="0.25">
      <c r="B27" t="s">
        <v>28</v>
      </c>
      <c r="H27" t="s">
        <v>28</v>
      </c>
    </row>
    <row r="28" spans="1:10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3C9DA456-0824-4A23-BEE1-261123EA4FAB}"/>
  </hyperlinks>
  <pageMargins left="0.2" right="0.1" top="0.25" bottom="0.25" header="0.3" footer="0.3"/>
  <pageSetup paperSize="9" orientation="portrait" r:id="rId2"/>
  <drawing r:id="rId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BD9D1-6C82-42B8-8A98-811C93FA3FFF}">
  <dimension ref="A1:R35"/>
  <sheetViews>
    <sheetView topLeftCell="A4" workbookViewId="0">
      <selection activeCell="C8" sqref="C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1032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1047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601</v>
      </c>
      <c r="D10" s="10"/>
      <c r="E10" s="10"/>
      <c r="F10" s="10"/>
    </row>
    <row r="11" spans="1:15" x14ac:dyDescent="0.25">
      <c r="B11" t="s">
        <v>11</v>
      </c>
      <c r="C11" s="10" t="s">
        <v>875</v>
      </c>
      <c r="D11" s="11"/>
      <c r="E11" s="11"/>
      <c r="F11" s="11"/>
    </row>
    <row r="12" spans="1:15" x14ac:dyDescent="0.25">
      <c r="A12" s="12"/>
      <c r="B12" s="13"/>
      <c r="C12" s="14" t="s">
        <v>1095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960</v>
      </c>
      <c r="C16" s="53" t="s">
        <v>23</v>
      </c>
      <c r="D16" s="79">
        <v>30</v>
      </c>
      <c r="E16" s="56">
        <v>30</v>
      </c>
      <c r="F16" s="56">
        <f>D16*E16</f>
        <v>900</v>
      </c>
      <c r="G16" s="56">
        <f t="shared" ref="G16:G26" si="0">F16*0.17</f>
        <v>153</v>
      </c>
      <c r="H16" s="74">
        <f t="shared" ref="H16:H26" si="1">E16*1.17</f>
        <v>35.099999999999994</v>
      </c>
      <c r="I16" s="56">
        <f>H16*D16</f>
        <v>1052.9999999999998</v>
      </c>
      <c r="J16" s="83"/>
      <c r="M16" s="21">
        <f t="shared" ref="M16:M26" si="2">440*1.02</f>
        <v>448.8</v>
      </c>
      <c r="N16" s="66" t="e">
        <f>M16-#REF!</f>
        <v>#REF!</v>
      </c>
      <c r="O16" s="21" t="e">
        <f t="shared" ref="O16:O26" si="3">N16*D16</f>
        <v>#REF!</v>
      </c>
    </row>
    <row r="17" spans="1:18" s="21" customFormat="1" ht="15.75" x14ac:dyDescent="0.25">
      <c r="A17" s="53">
        <v>2</v>
      </c>
      <c r="B17" s="78" t="s">
        <v>1048</v>
      </c>
      <c r="C17" s="53" t="s">
        <v>76</v>
      </c>
      <c r="D17" s="79">
        <v>1</v>
      </c>
      <c r="E17" s="56">
        <v>90</v>
      </c>
      <c r="F17" s="56">
        <f t="shared" ref="F17:F26" si="4">D17*E17</f>
        <v>90</v>
      </c>
      <c r="G17" s="56">
        <f>F17*0</f>
        <v>0</v>
      </c>
      <c r="H17" s="74">
        <f>E17*1</f>
        <v>90</v>
      </c>
      <c r="I17" s="56">
        <f>H17*D17</f>
        <v>90</v>
      </c>
      <c r="J17" s="83"/>
      <c r="N17" s="66"/>
    </row>
    <row r="18" spans="1:18" s="21" customFormat="1" ht="15.75" x14ac:dyDescent="0.25">
      <c r="A18" s="53">
        <v>3</v>
      </c>
      <c r="B18" s="78" t="s">
        <v>1049</v>
      </c>
      <c r="C18" s="53" t="s">
        <v>931</v>
      </c>
      <c r="D18" s="79">
        <v>15</v>
      </c>
      <c r="E18" s="56">
        <v>240</v>
      </c>
      <c r="F18" s="56">
        <f t="shared" si="4"/>
        <v>3600</v>
      </c>
      <c r="G18" s="56">
        <f t="shared" si="0"/>
        <v>612</v>
      </c>
      <c r="H18" s="74">
        <f t="shared" si="1"/>
        <v>280.79999999999995</v>
      </c>
      <c r="I18" s="56">
        <f t="shared" ref="I18:I26" si="5">H18*D18</f>
        <v>4211.9999999999991</v>
      </c>
      <c r="J18" s="83"/>
      <c r="N18" s="66"/>
    </row>
    <row r="19" spans="1:18" s="21" customFormat="1" ht="15.75" x14ac:dyDescent="0.25">
      <c r="A19" s="53">
        <v>4</v>
      </c>
      <c r="B19" s="78" t="s">
        <v>1050</v>
      </c>
      <c r="C19" s="53" t="s">
        <v>23</v>
      </c>
      <c r="D19" s="79">
        <v>44</v>
      </c>
      <c r="E19" s="56">
        <v>18</v>
      </c>
      <c r="F19" s="56">
        <f t="shared" si="4"/>
        <v>792</v>
      </c>
      <c r="G19" s="56">
        <f t="shared" si="0"/>
        <v>134.64000000000001</v>
      </c>
      <c r="H19" s="74">
        <f t="shared" si="1"/>
        <v>21.06</v>
      </c>
      <c r="I19" s="56">
        <f t="shared" si="5"/>
        <v>926.64</v>
      </c>
      <c r="J19" s="83"/>
      <c r="N19" s="66"/>
    </row>
    <row r="20" spans="1:18" s="21" customFormat="1" ht="15.75" x14ac:dyDescent="0.25">
      <c r="A20" s="53">
        <v>5</v>
      </c>
      <c r="B20" s="78" t="s">
        <v>113</v>
      </c>
      <c r="C20" s="53" t="s">
        <v>23</v>
      </c>
      <c r="D20" s="79">
        <v>40</v>
      </c>
      <c r="E20" s="56">
        <v>18</v>
      </c>
      <c r="F20" s="56">
        <f t="shared" ref="F20:F22" si="6">D20*E20</f>
        <v>720</v>
      </c>
      <c r="G20" s="56">
        <f t="shared" ref="G20:G22" si="7">F20*0.17</f>
        <v>122.4</v>
      </c>
      <c r="H20" s="74">
        <f t="shared" ref="H20:H22" si="8">E20*1.17</f>
        <v>21.06</v>
      </c>
      <c r="I20" s="56">
        <f t="shared" ref="I20:I22" si="9">H20*D20</f>
        <v>842.4</v>
      </c>
      <c r="J20" s="83"/>
      <c r="N20" s="66"/>
    </row>
    <row r="21" spans="1:18" s="21" customFormat="1" ht="15.75" x14ac:dyDescent="0.25">
      <c r="A21" s="53">
        <v>6</v>
      </c>
      <c r="B21" s="78" t="s">
        <v>1051</v>
      </c>
      <c r="C21" s="53" t="s">
        <v>23</v>
      </c>
      <c r="D21" s="79">
        <v>1</v>
      </c>
      <c r="E21" s="56">
        <v>190</v>
      </c>
      <c r="F21" s="56">
        <f t="shared" si="6"/>
        <v>190</v>
      </c>
      <c r="G21" s="56">
        <f t="shared" si="7"/>
        <v>32.300000000000004</v>
      </c>
      <c r="H21" s="74">
        <f t="shared" si="8"/>
        <v>222.29999999999998</v>
      </c>
      <c r="I21" s="56">
        <f t="shared" si="9"/>
        <v>222.29999999999998</v>
      </c>
      <c r="J21" s="83"/>
      <c r="N21" s="66"/>
    </row>
    <row r="22" spans="1:18" s="21" customFormat="1" ht="15.75" x14ac:dyDescent="0.25">
      <c r="A22" s="53">
        <v>7</v>
      </c>
      <c r="B22" s="78" t="s">
        <v>1052</v>
      </c>
      <c r="C22" s="53" t="s">
        <v>932</v>
      </c>
      <c r="D22" s="79">
        <v>2</v>
      </c>
      <c r="E22" s="56">
        <v>32</v>
      </c>
      <c r="F22" s="56">
        <f t="shared" si="6"/>
        <v>64</v>
      </c>
      <c r="G22" s="56">
        <f t="shared" si="7"/>
        <v>10.88</v>
      </c>
      <c r="H22" s="74">
        <f t="shared" si="8"/>
        <v>37.44</v>
      </c>
      <c r="I22" s="56">
        <f t="shared" si="9"/>
        <v>74.88</v>
      </c>
      <c r="J22" s="83"/>
      <c r="N22" s="66"/>
    </row>
    <row r="23" spans="1:18" s="21" customFormat="1" ht="15.75" x14ac:dyDescent="0.25">
      <c r="A23" s="53">
        <v>8</v>
      </c>
      <c r="B23" s="78" t="s">
        <v>1053</v>
      </c>
      <c r="C23" s="53" t="s">
        <v>23</v>
      </c>
      <c r="D23" s="79">
        <v>10</v>
      </c>
      <c r="E23" s="56">
        <v>240</v>
      </c>
      <c r="F23" s="56">
        <f t="shared" si="4"/>
        <v>2400</v>
      </c>
      <c r="G23" s="56">
        <f t="shared" si="0"/>
        <v>408.00000000000006</v>
      </c>
      <c r="H23" s="74">
        <f t="shared" si="1"/>
        <v>280.79999999999995</v>
      </c>
      <c r="I23" s="56">
        <f t="shared" si="5"/>
        <v>2807.9999999999995</v>
      </c>
      <c r="J23" s="83"/>
      <c r="N23" s="66"/>
    </row>
    <row r="24" spans="1:18" s="21" customFormat="1" ht="15.75" x14ac:dyDescent="0.25">
      <c r="A24" s="53">
        <v>9</v>
      </c>
      <c r="B24" s="78" t="s">
        <v>525</v>
      </c>
      <c r="C24" s="53" t="s">
        <v>166</v>
      </c>
      <c r="D24" s="79">
        <v>12</v>
      </c>
      <c r="E24" s="56">
        <v>32</v>
      </c>
      <c r="F24" s="56">
        <f t="shared" si="4"/>
        <v>384</v>
      </c>
      <c r="G24" s="56">
        <f t="shared" si="0"/>
        <v>65.28</v>
      </c>
      <c r="H24" s="74">
        <f t="shared" si="1"/>
        <v>37.44</v>
      </c>
      <c r="I24" s="56">
        <f t="shared" si="5"/>
        <v>449.28</v>
      </c>
      <c r="J24" s="83"/>
      <c r="N24" s="66"/>
    </row>
    <row r="25" spans="1:18" s="21" customFormat="1" ht="15.75" x14ac:dyDescent="0.25">
      <c r="A25" s="53">
        <v>10</v>
      </c>
      <c r="B25" s="78" t="s">
        <v>717</v>
      </c>
      <c r="C25" s="53" t="s">
        <v>76</v>
      </c>
      <c r="D25" s="79">
        <v>2</v>
      </c>
      <c r="E25" s="56">
        <v>132</v>
      </c>
      <c r="F25" s="56">
        <f t="shared" si="4"/>
        <v>264</v>
      </c>
      <c r="G25" s="56">
        <f t="shared" si="0"/>
        <v>44.88</v>
      </c>
      <c r="H25" s="74">
        <f t="shared" si="1"/>
        <v>154.44</v>
      </c>
      <c r="I25" s="56">
        <f t="shared" si="5"/>
        <v>308.88</v>
      </c>
      <c r="J25" s="83"/>
      <c r="N25" s="66"/>
    </row>
    <row r="26" spans="1:18" s="21" customFormat="1" x14ac:dyDescent="0.25">
      <c r="A26" s="53"/>
      <c r="B26" s="47"/>
      <c r="C26" s="82"/>
      <c r="D26" s="57"/>
      <c r="E26" s="56"/>
      <c r="F26" s="56">
        <f t="shared" si="4"/>
        <v>0</v>
      </c>
      <c r="G26" s="56">
        <f t="shared" si="0"/>
        <v>0</v>
      </c>
      <c r="H26" s="57">
        <f t="shared" si="1"/>
        <v>0</v>
      </c>
      <c r="I26" s="56">
        <f t="shared" si="5"/>
        <v>0</v>
      </c>
      <c r="J26" s="58"/>
      <c r="M26" s="21">
        <f t="shared" si="2"/>
        <v>448.8</v>
      </c>
      <c r="N26" s="66" t="e">
        <f>M26-#REF!</f>
        <v>#REF!</v>
      </c>
      <c r="O26" s="21" t="e">
        <f t="shared" si="3"/>
        <v>#REF!</v>
      </c>
    </row>
    <row r="27" spans="1:18" ht="15.75" thickBot="1" x14ac:dyDescent="0.3">
      <c r="A27" s="33"/>
      <c r="B27" s="34" t="s">
        <v>24</v>
      </c>
      <c r="C27" s="35"/>
      <c r="D27" s="62">
        <f>SUM(D16:D26)</f>
        <v>157</v>
      </c>
      <c r="E27" s="35"/>
      <c r="F27" s="62">
        <f>SUM(F16:F26)</f>
        <v>9404</v>
      </c>
      <c r="G27" s="62">
        <f>SUM(G16:G26)</f>
        <v>1583.38</v>
      </c>
      <c r="H27" s="35"/>
      <c r="I27" s="62">
        <f>SUM(I16:I26)</f>
        <v>10987.38</v>
      </c>
      <c r="J27" s="37"/>
      <c r="M27" t="e">
        <f>#REF!/117*100</f>
        <v>#REF!</v>
      </c>
      <c r="O27" t="e">
        <f>M27*1.1</f>
        <v>#REF!</v>
      </c>
    </row>
    <row r="28" spans="1:18" ht="15.75" thickTop="1" x14ac:dyDescent="0.25">
      <c r="A28" s="33"/>
      <c r="B28" s="34" t="s">
        <v>1054</v>
      </c>
      <c r="C28" s="35"/>
      <c r="D28" s="35"/>
      <c r="E28" s="35"/>
      <c r="F28" s="35"/>
      <c r="G28" s="35"/>
      <c r="H28" s="35"/>
      <c r="I28" s="35"/>
      <c r="J28" s="37"/>
    </row>
    <row r="29" spans="1:18" x14ac:dyDescent="0.25">
      <c r="A29" s="33"/>
      <c r="B29" s="38" t="s">
        <v>25</v>
      </c>
      <c r="C29" s="35"/>
      <c r="D29" s="35"/>
      <c r="E29" s="35"/>
      <c r="F29" s="35"/>
      <c r="G29" s="35"/>
      <c r="H29" s="35"/>
      <c r="I29" s="35"/>
      <c r="J29" s="37"/>
      <c r="M29" s="64" t="e">
        <f>M27*#REF!</f>
        <v>#REF!</v>
      </c>
      <c r="O29" s="65" t="e">
        <f>#REF!</f>
        <v>#REF!</v>
      </c>
      <c r="P29" s="64" t="e">
        <f>O29-M29</f>
        <v>#REF!</v>
      </c>
      <c r="Q29" s="64" t="e">
        <f>#REF!*0.045</f>
        <v>#REF!</v>
      </c>
      <c r="R29" s="64" t="e">
        <f>P29-Q29</f>
        <v>#REF!</v>
      </c>
    </row>
    <row r="30" spans="1:18" ht="30" customHeight="1" x14ac:dyDescent="0.25">
      <c r="B30" s="183" t="s">
        <v>26</v>
      </c>
      <c r="C30" s="183"/>
      <c r="D30" s="183"/>
      <c r="E30" s="183"/>
      <c r="F30" s="183"/>
      <c r="G30" s="183"/>
      <c r="H30" s="183"/>
      <c r="I30" s="183"/>
      <c r="J30" s="183"/>
      <c r="P30" s="64"/>
      <c r="R30" s="65" t="e">
        <f>#REF!-#REF!</f>
        <v>#REF!</v>
      </c>
    </row>
    <row r="31" spans="1:18" x14ac:dyDescent="0.25">
      <c r="B31" t="s">
        <v>27</v>
      </c>
    </row>
    <row r="34" spans="2:8" x14ac:dyDescent="0.25">
      <c r="B34" t="s">
        <v>28</v>
      </c>
      <c r="H34" t="s">
        <v>28</v>
      </c>
    </row>
    <row r="35" spans="2:8" x14ac:dyDescent="0.25">
      <c r="B35" t="s">
        <v>29</v>
      </c>
      <c r="H35" t="s">
        <v>30</v>
      </c>
    </row>
  </sheetData>
  <autoFilter ref="A15:J31" xr:uid="{00000000-0009-0000-0000-000000000000}"/>
  <mergeCells count="5">
    <mergeCell ref="A6:J6"/>
    <mergeCell ref="I7:J7"/>
    <mergeCell ref="I8:J8"/>
    <mergeCell ref="I9:J9"/>
    <mergeCell ref="B30:J30"/>
  </mergeCells>
  <hyperlinks>
    <hyperlink ref="H5" r:id="rId1" xr:uid="{64118154-2E45-4153-B82D-37AF9CAB04A8}"/>
  </hyperlinks>
  <pageMargins left="0.2" right="0.1" top="0.25" bottom="0.25" header="0.3" footer="0.3"/>
  <pageSetup paperSize="9" orientation="portrait" r:id="rId2"/>
  <drawing r:id="rId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BF4BF-69BF-4FCB-BF77-2012513B121E}">
  <dimension ref="A1:R28"/>
  <sheetViews>
    <sheetView topLeftCell="A4" workbookViewId="0">
      <selection activeCell="A21" sqref="A2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1032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1040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1042</v>
      </c>
      <c r="J9" s="188"/>
    </row>
    <row r="10" spans="1:15" x14ac:dyDescent="0.25">
      <c r="B10" t="s">
        <v>9</v>
      </c>
      <c r="C10" s="10" t="s">
        <v>1034</v>
      </c>
      <c r="D10" s="10"/>
      <c r="E10" s="10"/>
      <c r="F10" s="10"/>
    </row>
    <row r="11" spans="1:15" x14ac:dyDescent="0.25">
      <c r="B11" t="s">
        <v>11</v>
      </c>
      <c r="C11" s="10" t="s">
        <v>1035</v>
      </c>
      <c r="D11" s="11"/>
      <c r="E11" s="11"/>
      <c r="F11" s="11"/>
    </row>
    <row r="12" spans="1:15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1043</v>
      </c>
      <c r="C16" s="53" t="s">
        <v>23</v>
      </c>
      <c r="D16" s="79">
        <v>12</v>
      </c>
      <c r="E16" s="56">
        <v>30</v>
      </c>
      <c r="F16" s="56">
        <f>D16*E16</f>
        <v>360</v>
      </c>
      <c r="G16" s="56">
        <f t="shared" ref="G16:G19" si="0">F16*0.17</f>
        <v>61.2</v>
      </c>
      <c r="H16" s="74">
        <f t="shared" ref="H16:H19" si="1">E16*1.17</f>
        <v>35.099999999999994</v>
      </c>
      <c r="I16" s="56">
        <f>H16*D16</f>
        <v>421.19999999999993</v>
      </c>
      <c r="J16" s="83"/>
      <c r="M16" s="21">
        <f t="shared" ref="M16:M19" si="2">440*1.02</f>
        <v>448.8</v>
      </c>
      <c r="N16" s="66" t="e">
        <f>M16-#REF!</f>
        <v>#REF!</v>
      </c>
      <c r="O16" s="21" t="e">
        <f t="shared" ref="O16:O19" si="3">N16*D16</f>
        <v>#REF!</v>
      </c>
    </row>
    <row r="17" spans="1:18" s="21" customFormat="1" x14ac:dyDescent="0.25">
      <c r="A17" s="53">
        <v>2</v>
      </c>
      <c r="B17" s="47" t="s">
        <v>69</v>
      </c>
      <c r="C17" s="53" t="s">
        <v>23</v>
      </c>
      <c r="D17" s="79">
        <v>288</v>
      </c>
      <c r="E17" s="56">
        <v>7</v>
      </c>
      <c r="F17" s="56">
        <f t="shared" ref="F17:F19" si="4">D17*E17</f>
        <v>2016</v>
      </c>
      <c r="G17" s="56">
        <f t="shared" si="0"/>
        <v>342.72</v>
      </c>
      <c r="H17" s="57">
        <f t="shared" si="1"/>
        <v>8.19</v>
      </c>
      <c r="I17" s="56">
        <f t="shared" ref="I17:I19" si="5">H17*D17</f>
        <v>2358.7199999999998</v>
      </c>
      <c r="J17" s="58"/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s="21" customFormat="1" x14ac:dyDescent="0.25">
      <c r="A18" s="53">
        <v>3</v>
      </c>
      <c r="B18" s="47" t="s">
        <v>1044</v>
      </c>
      <c r="C18" s="53" t="s">
        <v>23</v>
      </c>
      <c r="D18" s="79">
        <v>36</v>
      </c>
      <c r="E18" s="56">
        <v>125</v>
      </c>
      <c r="F18" s="56">
        <f t="shared" ref="F18" si="6">D18*E18</f>
        <v>4500</v>
      </c>
      <c r="G18" s="56">
        <f t="shared" ref="G18" si="7">F18*0.17</f>
        <v>765</v>
      </c>
      <c r="H18" s="57">
        <f t="shared" ref="H18" si="8">E18*1.17</f>
        <v>146.25</v>
      </c>
      <c r="I18" s="56">
        <f t="shared" ref="I18" si="9">H18*D18</f>
        <v>5265</v>
      </c>
      <c r="J18" s="58"/>
      <c r="M18" s="21">
        <f t="shared" si="2"/>
        <v>448.8</v>
      </c>
      <c r="N18" s="66" t="e">
        <f>M18-#REF!</f>
        <v>#REF!</v>
      </c>
      <c r="O18" s="21" t="e">
        <f t="shared" ref="O18" si="10">N18*D18</f>
        <v>#REF!</v>
      </c>
    </row>
    <row r="19" spans="1:18" s="21" customFormat="1" ht="30" x14ac:dyDescent="0.25">
      <c r="A19" s="53">
        <v>4</v>
      </c>
      <c r="B19" s="47" t="s">
        <v>1045</v>
      </c>
      <c r="C19" s="53" t="s">
        <v>23</v>
      </c>
      <c r="D19" s="79">
        <v>50</v>
      </c>
      <c r="E19" s="56">
        <v>25</v>
      </c>
      <c r="F19" s="56">
        <f t="shared" si="4"/>
        <v>1250</v>
      </c>
      <c r="G19" s="56">
        <f t="shared" si="0"/>
        <v>212.50000000000003</v>
      </c>
      <c r="H19" s="57">
        <f t="shared" si="1"/>
        <v>29.25</v>
      </c>
      <c r="I19" s="56">
        <f t="shared" si="5"/>
        <v>1462.5</v>
      </c>
      <c r="J19" s="58"/>
      <c r="M19" s="21">
        <f t="shared" si="2"/>
        <v>448.8</v>
      </c>
      <c r="N19" s="66" t="e">
        <f>M19-#REF!</f>
        <v>#REF!</v>
      </c>
      <c r="O19" s="21" t="e">
        <f t="shared" si="3"/>
        <v>#REF!</v>
      </c>
    </row>
    <row r="20" spans="1:18" ht="15.75" thickBot="1" x14ac:dyDescent="0.3">
      <c r="A20" s="33"/>
      <c r="B20" s="34" t="s">
        <v>24</v>
      </c>
      <c r="C20" s="35"/>
      <c r="D20" s="62">
        <f>SUM(D16:D19)</f>
        <v>386</v>
      </c>
      <c r="E20" s="35"/>
      <c r="F20" s="62">
        <f>SUM(F16:F19)</f>
        <v>8126</v>
      </c>
      <c r="G20" s="62">
        <f>SUM(G16:G19)</f>
        <v>1381.42</v>
      </c>
      <c r="H20" s="35"/>
      <c r="I20" s="62">
        <f>SUM(I16:I19)</f>
        <v>9507.42</v>
      </c>
      <c r="J20" s="37"/>
      <c r="M20" t="e">
        <f>#REF!/117*100</f>
        <v>#REF!</v>
      </c>
      <c r="O20" t="e">
        <f>M20*1.1</f>
        <v>#REF!</v>
      </c>
    </row>
    <row r="21" spans="1:18" ht="15.75" thickTop="1" x14ac:dyDescent="0.25">
      <c r="A21" s="33"/>
      <c r="B21" s="34" t="s">
        <v>1046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 t="e">
        <f>M20*#REF!</f>
        <v>#REF!</v>
      </c>
      <c r="O22" s="65" t="e">
        <f>#REF!</f>
        <v>#REF!</v>
      </c>
      <c r="P22" s="64" t="e">
        <f>O22-M22</f>
        <v>#REF!</v>
      </c>
      <c r="Q22" s="64" t="e">
        <f>#REF!*0.045</f>
        <v>#REF!</v>
      </c>
      <c r="R22" s="64" t="e">
        <f>P22-Q22</f>
        <v>#REF!</v>
      </c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 t="e">
        <f>#REF!-#REF!</f>
        <v>#REF!</v>
      </c>
    </row>
    <row r="24" spans="1:18" x14ac:dyDescent="0.25">
      <c r="B24" t="s">
        <v>634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FAE1D670-8A4F-4FF3-A0CF-965927F630C8}"/>
  </hyperlinks>
  <pageMargins left="0.2" right="0.1" top="0.25" bottom="0.25" header="0.3" footer="0.3"/>
  <pageSetup paperSize="9" orientation="portrait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83F30-5EB3-447B-B4E6-9D62849AA7E6}">
  <sheetPr filterMode="1"/>
  <dimension ref="A1:R39"/>
  <sheetViews>
    <sheetView topLeftCell="A12" workbookViewId="0">
      <selection activeCell="F18" sqref="F18:F2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2266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25.5" hidden="1" x14ac:dyDescent="0.25">
      <c r="A16" s="53">
        <v>1</v>
      </c>
      <c r="B16" s="78" t="s">
        <v>1517</v>
      </c>
      <c r="C16" s="53" t="s">
        <v>1506</v>
      </c>
      <c r="D16" s="79">
        <v>1</v>
      </c>
      <c r="E16" s="56">
        <v>250</v>
      </c>
      <c r="F16" s="56">
        <f t="shared" ref="F16:F23" si="0">D16*E16</f>
        <v>250</v>
      </c>
      <c r="G16" s="149">
        <f t="shared" ref="G16:G29" si="1">F16*0.17</f>
        <v>42.5</v>
      </c>
      <c r="H16" s="85">
        <f t="shared" ref="H16:H29" si="2">E16*1.17</f>
        <v>292.5</v>
      </c>
      <c r="I16" s="56">
        <f t="shared" ref="I16:I29" si="3">H16*D16</f>
        <v>292.5</v>
      </c>
      <c r="J16" s="83"/>
      <c r="N16" s="66"/>
    </row>
    <row r="17" spans="1:14" s="21" customFormat="1" ht="15.75" hidden="1" x14ac:dyDescent="0.25">
      <c r="A17" s="53">
        <v>2</v>
      </c>
      <c r="B17" s="78" t="s">
        <v>1527</v>
      </c>
      <c r="C17" s="53" t="s">
        <v>23</v>
      </c>
      <c r="D17" s="79">
        <v>3</v>
      </c>
      <c r="E17" s="56">
        <v>28</v>
      </c>
      <c r="F17" s="56">
        <f t="shared" si="0"/>
        <v>84</v>
      </c>
      <c r="G17" s="149">
        <f t="shared" si="1"/>
        <v>14.280000000000001</v>
      </c>
      <c r="H17" s="85">
        <f t="shared" si="2"/>
        <v>32.76</v>
      </c>
      <c r="I17" s="56">
        <f t="shared" si="3"/>
        <v>98.28</v>
      </c>
      <c r="J17" s="83"/>
      <c r="N17" s="66"/>
    </row>
    <row r="18" spans="1:14" s="21" customFormat="1" ht="15.75" x14ac:dyDescent="0.25">
      <c r="A18" s="53">
        <v>3</v>
      </c>
      <c r="B18" s="78" t="s">
        <v>1529</v>
      </c>
      <c r="C18" s="53" t="s">
        <v>23</v>
      </c>
      <c r="D18" s="79">
        <v>2</v>
      </c>
      <c r="E18" s="56">
        <v>28</v>
      </c>
      <c r="F18" s="56">
        <f t="shared" si="0"/>
        <v>56</v>
      </c>
      <c r="G18" s="149">
        <f t="shared" ref="G18:G19" si="4">F18*0</f>
        <v>0</v>
      </c>
      <c r="H18" s="85">
        <f t="shared" ref="H18:H19" si="5">E18*1</f>
        <v>28</v>
      </c>
      <c r="I18" s="56">
        <f t="shared" si="3"/>
        <v>56</v>
      </c>
      <c r="J18" s="83"/>
      <c r="N18" s="66"/>
    </row>
    <row r="19" spans="1:14" s="21" customFormat="1" ht="15.75" x14ac:dyDescent="0.25">
      <c r="A19" s="53">
        <v>4</v>
      </c>
      <c r="B19" s="78" t="s">
        <v>1501</v>
      </c>
      <c r="C19" s="53" t="s">
        <v>1506</v>
      </c>
      <c r="D19" s="79">
        <v>3</v>
      </c>
      <c r="E19" s="56">
        <v>28</v>
      </c>
      <c r="F19" s="56">
        <f t="shared" si="0"/>
        <v>84</v>
      </c>
      <c r="G19" s="149">
        <f t="shared" si="4"/>
        <v>0</v>
      </c>
      <c r="H19" s="85">
        <f t="shared" si="5"/>
        <v>28</v>
      </c>
      <c r="I19" s="56">
        <f t="shared" si="3"/>
        <v>84</v>
      </c>
      <c r="J19" s="83"/>
      <c r="N19" s="66"/>
    </row>
    <row r="20" spans="1:14" s="21" customFormat="1" ht="15.75" hidden="1" x14ac:dyDescent="0.25">
      <c r="A20" s="53">
        <v>5</v>
      </c>
      <c r="B20" s="78" t="s">
        <v>1495</v>
      </c>
      <c r="C20" s="53" t="s">
        <v>1506</v>
      </c>
      <c r="D20" s="79">
        <v>1</v>
      </c>
      <c r="E20" s="56">
        <v>110</v>
      </c>
      <c r="F20" s="56">
        <f t="shared" si="0"/>
        <v>110</v>
      </c>
      <c r="G20" s="149">
        <f t="shared" si="1"/>
        <v>18.700000000000003</v>
      </c>
      <c r="H20" s="85">
        <f t="shared" si="2"/>
        <v>128.69999999999999</v>
      </c>
      <c r="I20" s="56">
        <f t="shared" si="3"/>
        <v>128.69999999999999</v>
      </c>
      <c r="J20" s="83"/>
      <c r="N20" s="66"/>
    </row>
    <row r="21" spans="1:14" s="21" customFormat="1" ht="25.5" hidden="1" x14ac:dyDescent="0.25">
      <c r="A21" s="53">
        <v>6</v>
      </c>
      <c r="B21" s="78" t="s">
        <v>1496</v>
      </c>
      <c r="C21" s="53" t="s">
        <v>1506</v>
      </c>
      <c r="D21" s="79">
        <v>3</v>
      </c>
      <c r="E21" s="56">
        <v>30</v>
      </c>
      <c r="F21" s="56">
        <f t="shared" si="0"/>
        <v>90</v>
      </c>
      <c r="G21" s="149">
        <f t="shared" si="1"/>
        <v>15.3</v>
      </c>
      <c r="H21" s="85">
        <f t="shared" si="2"/>
        <v>35.099999999999994</v>
      </c>
      <c r="I21" s="56">
        <f t="shared" si="3"/>
        <v>105.29999999999998</v>
      </c>
      <c r="J21" s="83"/>
      <c r="N21" s="66"/>
    </row>
    <row r="22" spans="1:14" s="21" customFormat="1" ht="15.75" hidden="1" x14ac:dyDescent="0.25">
      <c r="A22" s="53">
        <v>7</v>
      </c>
      <c r="B22" s="78" t="s">
        <v>1536</v>
      </c>
      <c r="C22" s="53" t="s">
        <v>1506</v>
      </c>
      <c r="D22" s="79">
        <v>4</v>
      </c>
      <c r="E22" s="56">
        <v>25</v>
      </c>
      <c r="F22" s="56">
        <f t="shared" si="0"/>
        <v>100</v>
      </c>
      <c r="G22" s="149">
        <f t="shared" si="1"/>
        <v>17</v>
      </c>
      <c r="H22" s="85">
        <f t="shared" si="2"/>
        <v>29.25</v>
      </c>
      <c r="I22" s="56">
        <f t="shared" si="3"/>
        <v>117</v>
      </c>
      <c r="J22" s="83"/>
      <c r="N22" s="66"/>
    </row>
    <row r="23" spans="1:14" s="21" customFormat="1" ht="15.75" hidden="1" x14ac:dyDescent="0.25">
      <c r="A23" s="53">
        <v>8</v>
      </c>
      <c r="B23" s="78" t="s">
        <v>1544</v>
      </c>
      <c r="C23" s="53" t="s">
        <v>1506</v>
      </c>
      <c r="D23" s="79">
        <v>1</v>
      </c>
      <c r="E23" s="56">
        <v>100</v>
      </c>
      <c r="F23" s="56">
        <f t="shared" si="0"/>
        <v>100</v>
      </c>
      <c r="G23" s="149">
        <f t="shared" si="1"/>
        <v>17</v>
      </c>
      <c r="H23" s="85">
        <f t="shared" si="2"/>
        <v>117</v>
      </c>
      <c r="I23" s="56">
        <f t="shared" si="3"/>
        <v>117</v>
      </c>
      <c r="J23" s="83"/>
      <c r="N23" s="66"/>
    </row>
    <row r="24" spans="1:14" s="21" customFormat="1" ht="25.5" hidden="1" x14ac:dyDescent="0.25">
      <c r="A24" s="53">
        <v>9</v>
      </c>
      <c r="B24" s="78" t="s">
        <v>1539</v>
      </c>
      <c r="C24" s="53" t="s">
        <v>1506</v>
      </c>
      <c r="D24" s="79">
        <v>1</v>
      </c>
      <c r="E24" s="56">
        <v>125</v>
      </c>
      <c r="F24" s="56">
        <f>D24*E24</f>
        <v>125</v>
      </c>
      <c r="G24" s="149">
        <f t="shared" si="1"/>
        <v>21.25</v>
      </c>
      <c r="H24" s="85">
        <f t="shared" si="2"/>
        <v>146.25</v>
      </c>
      <c r="I24" s="56">
        <f t="shared" si="3"/>
        <v>146.25</v>
      </c>
      <c r="J24" s="83"/>
      <c r="N24" s="66"/>
    </row>
    <row r="25" spans="1:14" s="21" customFormat="1" ht="15.75" x14ac:dyDescent="0.25">
      <c r="A25" s="53">
        <v>10</v>
      </c>
      <c r="B25" s="78" t="s">
        <v>1949</v>
      </c>
      <c r="C25" s="53" t="s">
        <v>76</v>
      </c>
      <c r="D25" s="79">
        <v>4</v>
      </c>
      <c r="E25" s="56">
        <v>75</v>
      </c>
      <c r="F25" s="56">
        <f t="shared" ref="F25:F29" si="6">D25*E25</f>
        <v>300</v>
      </c>
      <c r="G25" s="149">
        <f>F25*0</f>
        <v>0</v>
      </c>
      <c r="H25" s="85">
        <f>E25*1</f>
        <v>75</v>
      </c>
      <c r="I25" s="56">
        <f t="shared" si="3"/>
        <v>300</v>
      </c>
      <c r="J25" s="83"/>
      <c r="N25" s="66"/>
    </row>
    <row r="26" spans="1:14" s="21" customFormat="1" ht="15.75" hidden="1" x14ac:dyDescent="0.25">
      <c r="A26" s="53">
        <v>11</v>
      </c>
      <c r="B26" s="78" t="s">
        <v>2245</v>
      </c>
      <c r="C26" s="53" t="s">
        <v>23</v>
      </c>
      <c r="D26" s="79">
        <v>3</v>
      </c>
      <c r="E26" s="56">
        <v>18</v>
      </c>
      <c r="F26" s="56">
        <f t="shared" si="6"/>
        <v>54</v>
      </c>
      <c r="G26" s="149">
        <f t="shared" si="1"/>
        <v>9.1800000000000015</v>
      </c>
      <c r="H26" s="85">
        <f t="shared" si="2"/>
        <v>21.06</v>
      </c>
      <c r="I26" s="56">
        <f t="shared" si="3"/>
        <v>63.179999999999993</v>
      </c>
      <c r="J26" s="83"/>
      <c r="N26" s="66"/>
    </row>
    <row r="27" spans="1:14" s="21" customFormat="1" ht="15.75" hidden="1" x14ac:dyDescent="0.25">
      <c r="A27" s="53">
        <v>12</v>
      </c>
      <c r="B27" s="78" t="s">
        <v>2246</v>
      </c>
      <c r="C27" s="53" t="s">
        <v>23</v>
      </c>
      <c r="D27" s="79">
        <v>1</v>
      </c>
      <c r="E27" s="56">
        <v>160</v>
      </c>
      <c r="F27" s="56">
        <f t="shared" si="6"/>
        <v>160</v>
      </c>
      <c r="G27" s="149">
        <f t="shared" si="1"/>
        <v>27.200000000000003</v>
      </c>
      <c r="H27" s="85">
        <f t="shared" si="2"/>
        <v>187.2</v>
      </c>
      <c r="I27" s="56">
        <f t="shared" si="3"/>
        <v>187.2</v>
      </c>
      <c r="J27" s="83"/>
      <c r="N27" s="66"/>
    </row>
    <row r="28" spans="1:14" s="21" customFormat="1" ht="25.5" hidden="1" x14ac:dyDescent="0.25">
      <c r="A28" s="53">
        <v>13</v>
      </c>
      <c r="B28" s="78" t="s">
        <v>2247</v>
      </c>
      <c r="C28" s="53" t="s">
        <v>23</v>
      </c>
      <c r="D28" s="79">
        <v>1</v>
      </c>
      <c r="E28" s="56">
        <v>380</v>
      </c>
      <c r="F28" s="56">
        <f t="shared" si="6"/>
        <v>380</v>
      </c>
      <c r="G28" s="149">
        <f t="shared" si="1"/>
        <v>64.600000000000009</v>
      </c>
      <c r="H28" s="85">
        <f t="shared" si="2"/>
        <v>444.59999999999997</v>
      </c>
      <c r="I28" s="56">
        <f t="shared" si="3"/>
        <v>444.59999999999997</v>
      </c>
      <c r="J28" s="83"/>
      <c r="N28" s="66"/>
    </row>
    <row r="29" spans="1:14" s="21" customFormat="1" ht="15.75" hidden="1" x14ac:dyDescent="0.25">
      <c r="A29" s="53">
        <v>14</v>
      </c>
      <c r="B29" s="78" t="s">
        <v>1550</v>
      </c>
      <c r="C29" s="53" t="s">
        <v>166</v>
      </c>
      <c r="D29" s="79">
        <v>1</v>
      </c>
      <c r="E29" s="56">
        <v>85</v>
      </c>
      <c r="F29" s="56">
        <f t="shared" si="6"/>
        <v>85</v>
      </c>
      <c r="G29" s="149">
        <f t="shared" si="1"/>
        <v>14.450000000000001</v>
      </c>
      <c r="H29" s="85">
        <f t="shared" si="2"/>
        <v>99.449999999999989</v>
      </c>
      <c r="I29" s="56">
        <f t="shared" si="3"/>
        <v>99.449999999999989</v>
      </c>
      <c r="J29" s="83"/>
      <c r="N29" s="66"/>
    </row>
    <row r="30" spans="1:14" s="21" customFormat="1" ht="15.75" hidden="1" x14ac:dyDescent="0.25">
      <c r="A30" s="53"/>
      <c r="B30" s="78"/>
      <c r="C30" s="53"/>
      <c r="D30" s="79"/>
      <c r="E30" s="56"/>
      <c r="F30" s="56"/>
      <c r="G30" s="149"/>
      <c r="H30" s="85"/>
      <c r="I30" s="56"/>
      <c r="J30" s="83"/>
      <c r="N30" s="66"/>
    </row>
    <row r="31" spans="1:14" ht="15.75" hidden="1" thickBot="1" x14ac:dyDescent="0.3">
      <c r="A31" s="33"/>
      <c r="B31" s="34" t="s">
        <v>24</v>
      </c>
      <c r="C31" s="35"/>
      <c r="D31" s="62">
        <f>SUM(D16:D30)</f>
        <v>29</v>
      </c>
      <c r="E31" s="35"/>
      <c r="F31" s="62">
        <f>SUM(F16:F30)</f>
        <v>1978</v>
      </c>
      <c r="G31" s="62">
        <f>SUM(G16:G30)</f>
        <v>261.46000000000004</v>
      </c>
      <c r="H31" s="35"/>
      <c r="I31" s="62">
        <f>SUM(I16:I30)</f>
        <v>2239.46</v>
      </c>
      <c r="J31" s="37"/>
    </row>
    <row r="32" spans="1:14" hidden="1" x14ac:dyDescent="0.25">
      <c r="A32" s="33"/>
      <c r="B32" s="34" t="s">
        <v>2267</v>
      </c>
      <c r="C32" s="35"/>
      <c r="D32" s="35"/>
      <c r="E32" s="35"/>
      <c r="F32" s="35"/>
      <c r="G32" s="35"/>
      <c r="H32" s="35"/>
      <c r="I32" s="35"/>
      <c r="J32" s="37"/>
    </row>
    <row r="33" spans="1:18" hidden="1" x14ac:dyDescent="0.25">
      <c r="A33" s="33"/>
      <c r="B33" s="38" t="s">
        <v>25</v>
      </c>
      <c r="C33" s="35"/>
      <c r="D33" s="35"/>
      <c r="E33" s="35"/>
      <c r="F33" s="35"/>
      <c r="G33" s="35"/>
      <c r="H33" s="35"/>
      <c r="I33" s="35"/>
      <c r="J33" s="37"/>
      <c r="M33" s="64"/>
      <c r="O33" s="65"/>
      <c r="P33" s="64"/>
      <c r="Q33" s="64"/>
      <c r="R33" s="64"/>
    </row>
    <row r="34" spans="1:18" ht="30" hidden="1" customHeight="1" x14ac:dyDescent="0.25">
      <c r="B34" s="183" t="s">
        <v>26</v>
      </c>
      <c r="C34" s="183"/>
      <c r="D34" s="183"/>
      <c r="E34" s="183"/>
      <c r="F34" s="183"/>
      <c r="G34" s="183"/>
      <c r="H34" s="183"/>
      <c r="I34" s="183"/>
      <c r="J34" s="183"/>
      <c r="P34" s="64"/>
      <c r="R34" s="65"/>
    </row>
    <row r="35" spans="1:18" hidden="1" x14ac:dyDescent="0.25">
      <c r="B35" t="s">
        <v>634</v>
      </c>
    </row>
    <row r="38" spans="1:18" x14ac:dyDescent="0.25">
      <c r="B38" t="s">
        <v>28</v>
      </c>
      <c r="H38" t="s">
        <v>28</v>
      </c>
    </row>
    <row r="39" spans="1:18" x14ac:dyDescent="0.25">
      <c r="B39" t="s">
        <v>29</v>
      </c>
      <c r="H39" t="s">
        <v>30</v>
      </c>
    </row>
  </sheetData>
  <autoFilter ref="A15:J35" xr:uid="{00000000-0009-0000-0000-000000000000}">
    <filterColumn colId="6">
      <filters>
        <filter val="-"/>
      </filters>
    </filterColumn>
  </autoFilter>
  <mergeCells count="5">
    <mergeCell ref="A6:J6"/>
    <mergeCell ref="I7:J7"/>
    <mergeCell ref="I8:J8"/>
    <mergeCell ref="I9:J9"/>
    <mergeCell ref="B34:J34"/>
  </mergeCells>
  <hyperlinks>
    <hyperlink ref="H5" r:id="rId1" xr:uid="{7EF891A9-E9C6-4326-99A7-4A7DAA90B75B}"/>
  </hyperlinks>
  <pageMargins left="0.2" right="0.1" top="0.25" bottom="0.25" header="0.3" footer="0.3"/>
  <pageSetup paperSize="9" orientation="portrait" r:id="rId2"/>
  <drawing r:id="rId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469E0-1A1E-4A20-8648-E976BF2B1F68}">
  <dimension ref="A1:R27"/>
  <sheetViews>
    <sheetView topLeftCell="A5" workbookViewId="0">
      <selection activeCell="F19" sqref="F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1032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1033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1041</v>
      </c>
      <c r="J9" s="188"/>
    </row>
    <row r="10" spans="1:15" x14ac:dyDescent="0.25">
      <c r="B10" t="s">
        <v>9</v>
      </c>
      <c r="C10" s="10" t="s">
        <v>1034</v>
      </c>
      <c r="D10" s="10"/>
      <c r="E10" s="10"/>
      <c r="F10" s="10"/>
    </row>
    <row r="11" spans="1:15" x14ac:dyDescent="0.25">
      <c r="B11" t="s">
        <v>11</v>
      </c>
      <c r="C11" s="10" t="s">
        <v>1035</v>
      </c>
      <c r="D11" s="11"/>
      <c r="E11" s="11"/>
      <c r="F11" s="11"/>
    </row>
    <row r="12" spans="1:15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177</v>
      </c>
      <c r="C16" s="53" t="s">
        <v>23</v>
      </c>
      <c r="D16" s="79">
        <v>5</v>
      </c>
      <c r="E16" s="56">
        <v>25</v>
      </c>
      <c r="F16" s="56">
        <f>D16*E16</f>
        <v>125</v>
      </c>
      <c r="G16" s="56">
        <f t="shared" ref="G16:G18" si="0">F16*0.17</f>
        <v>21.25</v>
      </c>
      <c r="H16" s="74">
        <f t="shared" ref="H16:H18" si="1">E16*1.17</f>
        <v>29.25</v>
      </c>
      <c r="I16" s="56">
        <f>H16*D16</f>
        <v>146.25</v>
      </c>
      <c r="J16" s="83"/>
      <c r="M16" s="21">
        <f t="shared" ref="M16:M18" si="2">440*1.02</f>
        <v>448.8</v>
      </c>
      <c r="N16" s="66" t="e">
        <f>M16-#REF!</f>
        <v>#REF!</v>
      </c>
      <c r="O16" s="21" t="e">
        <f t="shared" ref="O16:O18" si="3">N16*D16</f>
        <v>#REF!</v>
      </c>
    </row>
    <row r="17" spans="1:18" s="21" customFormat="1" x14ac:dyDescent="0.25">
      <c r="A17" s="53">
        <v>2</v>
      </c>
      <c r="B17" s="47" t="s">
        <v>1037</v>
      </c>
      <c r="C17" s="53" t="s">
        <v>23</v>
      </c>
      <c r="D17" s="79">
        <v>50</v>
      </c>
      <c r="E17" s="56">
        <v>28</v>
      </c>
      <c r="F17" s="56">
        <f t="shared" ref="F17" si="4">D17*E17</f>
        <v>1400</v>
      </c>
      <c r="G17" s="56">
        <f t="shared" ref="G17" si="5">F17*0.17</f>
        <v>238.00000000000003</v>
      </c>
      <c r="H17" s="57">
        <f t="shared" ref="H17" si="6">E17*1.17</f>
        <v>32.76</v>
      </c>
      <c r="I17" s="56">
        <f t="shared" ref="I17" si="7">H17*D17</f>
        <v>1638</v>
      </c>
      <c r="J17" s="58"/>
      <c r="M17" s="21">
        <f t="shared" si="2"/>
        <v>448.8</v>
      </c>
      <c r="N17" s="66" t="e">
        <f>M17-#REF!</f>
        <v>#REF!</v>
      </c>
      <c r="O17" s="21" t="e">
        <f t="shared" ref="O17" si="8">N17*D17</f>
        <v>#REF!</v>
      </c>
    </row>
    <row r="18" spans="1:18" s="21" customFormat="1" x14ac:dyDescent="0.25">
      <c r="A18" s="53">
        <v>3</v>
      </c>
      <c r="B18" s="47" t="s">
        <v>1038</v>
      </c>
      <c r="C18" s="53" t="s">
        <v>23</v>
      </c>
      <c r="D18" s="79">
        <v>5</v>
      </c>
      <c r="E18" s="56">
        <v>24</v>
      </c>
      <c r="F18" s="56">
        <f t="shared" ref="F18" si="9">D18*E18</f>
        <v>120</v>
      </c>
      <c r="G18" s="56">
        <f t="shared" si="0"/>
        <v>20.400000000000002</v>
      </c>
      <c r="H18" s="57">
        <f t="shared" si="1"/>
        <v>28.08</v>
      </c>
      <c r="I18" s="56">
        <f t="shared" ref="I18" si="10">H18*D18</f>
        <v>140.39999999999998</v>
      </c>
      <c r="J18" s="58"/>
      <c r="M18" s="21">
        <f t="shared" si="2"/>
        <v>448.8</v>
      </c>
      <c r="N18" s="66" t="e">
        <f>M18-#REF!</f>
        <v>#REF!</v>
      </c>
      <c r="O18" s="21" t="e">
        <f t="shared" si="3"/>
        <v>#REF!</v>
      </c>
    </row>
    <row r="19" spans="1:18" ht="15.75" thickBot="1" x14ac:dyDescent="0.3">
      <c r="A19" s="33"/>
      <c r="B19" s="34" t="s">
        <v>24</v>
      </c>
      <c r="C19" s="35"/>
      <c r="D19" s="62">
        <f>SUM(D16:D18)</f>
        <v>60</v>
      </c>
      <c r="E19" s="35"/>
      <c r="F19" s="62">
        <f>SUM(F16:F18)</f>
        <v>1645</v>
      </c>
      <c r="G19" s="62">
        <f>SUM(G16:G18)</f>
        <v>279.64999999999998</v>
      </c>
      <c r="H19" s="35"/>
      <c r="I19" s="62">
        <f>SUM(I16:I18)</f>
        <v>1924.65</v>
      </c>
      <c r="J19" s="37"/>
      <c r="M19" t="e">
        <f>#REF!/117*100</f>
        <v>#REF!</v>
      </c>
      <c r="O19" t="e">
        <f>M19*1.1</f>
        <v>#REF!</v>
      </c>
    </row>
    <row r="20" spans="1:18" ht="15.75" thickTop="1" x14ac:dyDescent="0.25">
      <c r="A20" s="33"/>
      <c r="B20" s="34" t="s">
        <v>1039</v>
      </c>
      <c r="C20" s="35"/>
      <c r="D20" s="35"/>
      <c r="E20" s="35"/>
      <c r="F20" s="35"/>
      <c r="G20" s="35"/>
      <c r="H20" s="35"/>
      <c r="I20" s="35"/>
      <c r="J20" s="37"/>
    </row>
    <row r="21" spans="1:18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  <c r="M21" s="64" t="e">
        <f>M19*#REF!</f>
        <v>#REF!</v>
      </c>
      <c r="O21" s="65" t="e">
        <f>#REF!</f>
        <v>#REF!</v>
      </c>
      <c r="P21" s="64" t="e">
        <f>O21-M21</f>
        <v>#REF!</v>
      </c>
      <c r="Q21" s="64" t="e">
        <f>#REF!*0.045</f>
        <v>#REF!</v>
      </c>
      <c r="R21" s="64" t="e">
        <f>P21-Q21</f>
        <v>#REF!</v>
      </c>
    </row>
    <row r="22" spans="1:18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  <c r="P22" s="64"/>
      <c r="R22" s="65" t="e">
        <f>#REF!-#REF!</f>
        <v>#REF!</v>
      </c>
    </row>
    <row r="23" spans="1:18" x14ac:dyDescent="0.25">
      <c r="B23" t="s">
        <v>634</v>
      </c>
    </row>
    <row r="26" spans="1:18" x14ac:dyDescent="0.25">
      <c r="B26" t="s">
        <v>28</v>
      </c>
      <c r="H26" t="s">
        <v>28</v>
      </c>
    </row>
    <row r="27" spans="1:18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9BD805E2-D6D1-4165-BC69-3E44ECFAF3B2}"/>
  </hyperlinks>
  <pageMargins left="0.2" right="0.1" top="0.25" bottom="0.25" header="0.3" footer="0.3"/>
  <pageSetup paperSize="9" orientation="portrait" r:id="rId2"/>
  <drawing r:id="rId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EACC8-300C-4B91-8C48-A0981AF1DB1C}">
  <dimension ref="A1:R26"/>
  <sheetViews>
    <sheetView workbookViewId="0">
      <selection activeCell="M7" sqref="M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1028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1029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127</v>
      </c>
      <c r="D10" s="10"/>
      <c r="E10" s="10"/>
      <c r="F10" s="10"/>
    </row>
    <row r="11" spans="1:15" x14ac:dyDescent="0.25">
      <c r="B11" t="s">
        <v>11</v>
      </c>
      <c r="C11" s="10" t="s">
        <v>255</v>
      </c>
      <c r="D11" s="11"/>
      <c r="E11" s="11"/>
      <c r="F11" s="11"/>
    </row>
    <row r="12" spans="1:15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1030</v>
      </c>
      <c r="C16" s="53" t="s">
        <v>23</v>
      </c>
      <c r="D16" s="79">
        <v>12</v>
      </c>
      <c r="E16" s="56">
        <v>48</v>
      </c>
      <c r="F16" s="56">
        <f>D16*E16</f>
        <v>576</v>
      </c>
      <c r="G16" s="56">
        <f t="shared" ref="G16:G17" si="0">F16*0.17</f>
        <v>97.92</v>
      </c>
      <c r="H16" s="74">
        <f t="shared" ref="H16:H17" si="1">E16*1.17</f>
        <v>56.16</v>
      </c>
      <c r="I16" s="56">
        <f>H16*D16</f>
        <v>673.92</v>
      </c>
      <c r="J16" s="83"/>
      <c r="M16" s="21">
        <f t="shared" ref="M16:M17" si="2">440*1.02</f>
        <v>448.8</v>
      </c>
      <c r="N16" s="66" t="e">
        <f>M16-#REF!</f>
        <v>#REF!</v>
      </c>
      <c r="O16" s="21" t="e">
        <f t="shared" ref="O16:O17" si="3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ref="F17" si="4">D17*E17</f>
        <v>0</v>
      </c>
      <c r="G17" s="56">
        <f t="shared" si="0"/>
        <v>0</v>
      </c>
      <c r="H17" s="57">
        <f t="shared" si="1"/>
        <v>0</v>
      </c>
      <c r="I17" s="56">
        <f t="shared" ref="I17" si="5">H17*D17</f>
        <v>0</v>
      </c>
      <c r="J17" s="58"/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12</v>
      </c>
      <c r="E18" s="35"/>
      <c r="F18" s="62">
        <f>SUM(F16:F17)</f>
        <v>576</v>
      </c>
      <c r="G18" s="62">
        <f>SUM(G16:G17)</f>
        <v>97.92</v>
      </c>
      <c r="H18" s="35"/>
      <c r="I18" s="62">
        <f>SUM(I16:I17)</f>
        <v>673.92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1031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A1F61A18-9D59-44E7-BAAF-CD5D061A0C9E}"/>
  </hyperlinks>
  <pageMargins left="0.2" right="0.1" top="0.25" bottom="0.25" header="0.3" footer="0.3"/>
  <pageSetup paperSize="9" orientation="portrait" r:id="rId2"/>
  <drawing r:id="rId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46D86-51D0-4CC8-95DD-B4B078E0A3E7}">
  <dimension ref="A1:R38"/>
  <sheetViews>
    <sheetView workbookViewId="0">
      <selection activeCell="A8" sqref="A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1014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1013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754</v>
      </c>
      <c r="D10" s="10"/>
      <c r="E10" s="10"/>
      <c r="F10" s="10"/>
    </row>
    <row r="11" spans="1:15" x14ac:dyDescent="0.25">
      <c r="B11" t="s">
        <v>11</v>
      </c>
      <c r="C11" s="10" t="s">
        <v>755</v>
      </c>
      <c r="D11" s="11"/>
      <c r="E11" s="11"/>
      <c r="F11" s="11"/>
    </row>
    <row r="12" spans="1:15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1015</v>
      </c>
      <c r="C16" s="53" t="s">
        <v>23</v>
      </c>
      <c r="D16" s="79">
        <v>12</v>
      </c>
      <c r="E16" s="56">
        <v>130</v>
      </c>
      <c r="F16" s="56">
        <f>D16*E16</f>
        <v>1560</v>
      </c>
      <c r="G16" s="56">
        <f t="shared" ref="G16:G29" si="0">F16*0.17</f>
        <v>265.20000000000005</v>
      </c>
      <c r="H16" s="74">
        <f t="shared" ref="H16:H29" si="1">E16*1.17</f>
        <v>152.1</v>
      </c>
      <c r="I16" s="56">
        <f>H16*D16</f>
        <v>1825.1999999999998</v>
      </c>
      <c r="J16" s="83"/>
      <c r="M16" s="21">
        <f t="shared" ref="M16:M29" si="2">440*1.02</f>
        <v>448.8</v>
      </c>
      <c r="N16" s="66" t="e">
        <f>M16-#REF!</f>
        <v>#REF!</v>
      </c>
      <c r="O16" s="21" t="e">
        <f t="shared" ref="O16:O29" si="3">N16*D16</f>
        <v>#REF!</v>
      </c>
    </row>
    <row r="17" spans="1:18" s="21" customFormat="1" ht="15.75" x14ac:dyDescent="0.25">
      <c r="A17" s="53">
        <f>A16+1</f>
        <v>2</v>
      </c>
      <c r="B17" s="78" t="s">
        <v>1016</v>
      </c>
      <c r="C17" s="53" t="s">
        <v>23</v>
      </c>
      <c r="D17" s="79">
        <v>72</v>
      </c>
      <c r="E17" s="56">
        <v>25</v>
      </c>
      <c r="F17" s="56">
        <f t="shared" ref="F17:F22" si="4">D17*E17</f>
        <v>1800</v>
      </c>
      <c r="G17" s="56">
        <f t="shared" ref="G17:G22" si="5">F17*0.17</f>
        <v>306</v>
      </c>
      <c r="H17" s="74">
        <f t="shared" ref="H17:H22" si="6">E17*1.17</f>
        <v>29.25</v>
      </c>
      <c r="I17" s="56">
        <f t="shared" ref="I17:I22" si="7">H17*D17</f>
        <v>2106</v>
      </c>
      <c r="J17" s="83"/>
      <c r="N17" s="66"/>
    </row>
    <row r="18" spans="1:18" s="21" customFormat="1" ht="15.75" x14ac:dyDescent="0.25">
      <c r="A18" s="53">
        <f t="shared" ref="A18:A28" si="8">A17+1</f>
        <v>3</v>
      </c>
      <c r="B18" s="78" t="s">
        <v>1017</v>
      </c>
      <c r="C18" s="53" t="s">
        <v>23</v>
      </c>
      <c r="D18" s="79">
        <v>48</v>
      </c>
      <c r="E18" s="56">
        <v>18</v>
      </c>
      <c r="F18" s="56">
        <f t="shared" si="4"/>
        <v>864</v>
      </c>
      <c r="G18" s="56">
        <f t="shared" si="5"/>
        <v>146.88000000000002</v>
      </c>
      <c r="H18" s="74">
        <f t="shared" si="6"/>
        <v>21.06</v>
      </c>
      <c r="I18" s="56">
        <f t="shared" si="7"/>
        <v>1010.8799999999999</v>
      </c>
      <c r="J18" s="83"/>
      <c r="N18" s="66"/>
    </row>
    <row r="19" spans="1:18" s="21" customFormat="1" ht="15.75" x14ac:dyDescent="0.25">
      <c r="A19" s="53">
        <f t="shared" si="8"/>
        <v>4</v>
      </c>
      <c r="B19" s="78" t="s">
        <v>1018</v>
      </c>
      <c r="C19" s="53" t="s">
        <v>23</v>
      </c>
      <c r="D19" s="79">
        <v>24</v>
      </c>
      <c r="E19" s="56">
        <v>160</v>
      </c>
      <c r="F19" s="56">
        <f t="shared" si="4"/>
        <v>3840</v>
      </c>
      <c r="G19" s="56">
        <f t="shared" si="5"/>
        <v>652.80000000000007</v>
      </c>
      <c r="H19" s="74">
        <f t="shared" si="6"/>
        <v>187.2</v>
      </c>
      <c r="I19" s="56">
        <f t="shared" si="7"/>
        <v>4492.7999999999993</v>
      </c>
      <c r="J19" s="83"/>
      <c r="N19" s="66"/>
    </row>
    <row r="20" spans="1:18" s="21" customFormat="1" ht="15.75" x14ac:dyDescent="0.25">
      <c r="A20" s="53">
        <f t="shared" si="8"/>
        <v>5</v>
      </c>
      <c r="B20" s="78" t="s">
        <v>1019</v>
      </c>
      <c r="C20" s="53" t="s">
        <v>23</v>
      </c>
      <c r="D20" s="79">
        <v>100</v>
      </c>
      <c r="E20" s="56">
        <v>14</v>
      </c>
      <c r="F20" s="56">
        <f t="shared" si="4"/>
        <v>1400</v>
      </c>
      <c r="G20" s="56">
        <f t="shared" si="5"/>
        <v>238.00000000000003</v>
      </c>
      <c r="H20" s="74">
        <f t="shared" si="6"/>
        <v>16.38</v>
      </c>
      <c r="I20" s="56">
        <f t="shared" si="7"/>
        <v>1638</v>
      </c>
      <c r="J20" s="83"/>
      <c r="N20" s="66"/>
    </row>
    <row r="21" spans="1:18" s="21" customFormat="1" ht="25.5" x14ac:dyDescent="0.25">
      <c r="A21" s="53">
        <f t="shared" si="8"/>
        <v>6</v>
      </c>
      <c r="B21" s="78" t="s">
        <v>1020</v>
      </c>
      <c r="C21" s="53" t="s">
        <v>23</v>
      </c>
      <c r="D21" s="79">
        <v>200</v>
      </c>
      <c r="E21" s="56">
        <v>85</v>
      </c>
      <c r="F21" s="56">
        <f t="shared" si="4"/>
        <v>17000</v>
      </c>
      <c r="G21" s="56">
        <f t="shared" si="5"/>
        <v>2890</v>
      </c>
      <c r="H21" s="74">
        <f t="shared" si="6"/>
        <v>99.449999999999989</v>
      </c>
      <c r="I21" s="56">
        <f t="shared" si="7"/>
        <v>19889.999999999996</v>
      </c>
      <c r="J21" s="83"/>
      <c r="N21" s="66"/>
    </row>
    <row r="22" spans="1:18" s="21" customFormat="1" ht="15.75" x14ac:dyDescent="0.25">
      <c r="A22" s="53">
        <f t="shared" si="8"/>
        <v>7</v>
      </c>
      <c r="B22" s="78" t="s">
        <v>1021</v>
      </c>
      <c r="C22" s="53" t="s">
        <v>23</v>
      </c>
      <c r="D22" s="79">
        <v>50</v>
      </c>
      <c r="E22" s="56">
        <v>24</v>
      </c>
      <c r="F22" s="56">
        <f t="shared" si="4"/>
        <v>1200</v>
      </c>
      <c r="G22" s="56">
        <f t="shared" si="5"/>
        <v>204.00000000000003</v>
      </c>
      <c r="H22" s="74">
        <f t="shared" si="6"/>
        <v>28.08</v>
      </c>
      <c r="I22" s="56">
        <f t="shared" si="7"/>
        <v>1404</v>
      </c>
      <c r="J22" s="83"/>
      <c r="N22" s="66"/>
    </row>
    <row r="23" spans="1:18" s="21" customFormat="1" ht="25.5" x14ac:dyDescent="0.25">
      <c r="A23" s="53">
        <f t="shared" si="8"/>
        <v>8</v>
      </c>
      <c r="B23" s="78" t="s">
        <v>1022</v>
      </c>
      <c r="C23" s="53" t="s">
        <v>23</v>
      </c>
      <c r="D23" s="79">
        <v>288</v>
      </c>
      <c r="E23" s="56">
        <v>7</v>
      </c>
      <c r="F23" s="56">
        <f t="shared" ref="F23:F29" si="9">D23*E23</f>
        <v>2016</v>
      </c>
      <c r="G23" s="56">
        <f>F23*0</f>
        <v>0</v>
      </c>
      <c r="H23" s="74">
        <f>E23*1</f>
        <v>7</v>
      </c>
      <c r="I23" s="56">
        <f t="shared" ref="I23:I29" si="10">H23*D23</f>
        <v>2016</v>
      </c>
      <c r="J23" s="83"/>
      <c r="N23" s="66"/>
    </row>
    <row r="24" spans="1:18" s="21" customFormat="1" ht="15.75" x14ac:dyDescent="0.25">
      <c r="A24" s="53">
        <f t="shared" si="8"/>
        <v>9</v>
      </c>
      <c r="B24" s="78" t="s">
        <v>1023</v>
      </c>
      <c r="C24" s="53" t="s">
        <v>76</v>
      </c>
      <c r="D24" s="79">
        <v>100</v>
      </c>
      <c r="E24" s="56">
        <v>25</v>
      </c>
      <c r="F24" s="56">
        <f t="shared" si="9"/>
        <v>2500</v>
      </c>
      <c r="G24" s="56">
        <f t="shared" si="0"/>
        <v>425.00000000000006</v>
      </c>
      <c r="H24" s="74">
        <f t="shared" si="1"/>
        <v>29.25</v>
      </c>
      <c r="I24" s="56">
        <f t="shared" si="10"/>
        <v>2925</v>
      </c>
      <c r="J24" s="83"/>
      <c r="N24" s="66"/>
    </row>
    <row r="25" spans="1:18" s="21" customFormat="1" ht="15.75" x14ac:dyDescent="0.25">
      <c r="A25" s="53">
        <f t="shared" si="8"/>
        <v>10</v>
      </c>
      <c r="B25" s="78" t="s">
        <v>45</v>
      </c>
      <c r="C25" s="53" t="s">
        <v>23</v>
      </c>
      <c r="D25" s="79">
        <v>12</v>
      </c>
      <c r="E25" s="56">
        <v>25</v>
      </c>
      <c r="F25" s="56">
        <f t="shared" si="9"/>
        <v>300</v>
      </c>
      <c r="G25" s="56">
        <f>F25*0</f>
        <v>0</v>
      </c>
      <c r="H25" s="74">
        <f>E25*1</f>
        <v>25</v>
      </c>
      <c r="I25" s="56">
        <f t="shared" si="10"/>
        <v>300</v>
      </c>
      <c r="J25" s="83"/>
      <c r="N25" s="66"/>
    </row>
    <row r="26" spans="1:18" s="21" customFormat="1" ht="25.5" x14ac:dyDescent="0.25">
      <c r="A26" s="53">
        <f t="shared" si="8"/>
        <v>11</v>
      </c>
      <c r="B26" s="78" t="s">
        <v>1024</v>
      </c>
      <c r="C26" s="53" t="s">
        <v>23</v>
      </c>
      <c r="D26" s="79">
        <v>12</v>
      </c>
      <c r="E26" s="56">
        <v>440</v>
      </c>
      <c r="F26" s="56">
        <f t="shared" si="9"/>
        <v>5280</v>
      </c>
      <c r="G26" s="56">
        <f t="shared" si="0"/>
        <v>897.6</v>
      </c>
      <c r="H26" s="74">
        <f t="shared" si="1"/>
        <v>514.79999999999995</v>
      </c>
      <c r="I26" s="56">
        <f t="shared" si="10"/>
        <v>6177.5999999999995</v>
      </c>
      <c r="J26" s="83"/>
      <c r="N26" s="66"/>
    </row>
    <row r="27" spans="1:18" s="21" customFormat="1" ht="15.75" x14ac:dyDescent="0.25">
      <c r="A27" s="53">
        <f t="shared" si="8"/>
        <v>12</v>
      </c>
      <c r="B27" s="78" t="s">
        <v>1025</v>
      </c>
      <c r="C27" s="53" t="s">
        <v>23</v>
      </c>
      <c r="D27" s="79">
        <v>120</v>
      </c>
      <c r="E27" s="56">
        <v>25</v>
      </c>
      <c r="F27" s="56">
        <f t="shared" si="9"/>
        <v>3000</v>
      </c>
      <c r="G27" s="56">
        <f>F27*0</f>
        <v>0</v>
      </c>
      <c r="H27" s="74">
        <f>E27*1</f>
        <v>25</v>
      </c>
      <c r="I27" s="56">
        <f t="shared" si="10"/>
        <v>3000</v>
      </c>
      <c r="J27" s="83"/>
      <c r="N27" s="66"/>
    </row>
    <row r="28" spans="1:18" s="21" customFormat="1" ht="15.75" x14ac:dyDescent="0.25">
      <c r="A28" s="53">
        <f t="shared" si="8"/>
        <v>13</v>
      </c>
      <c r="B28" s="78" t="s">
        <v>1026</v>
      </c>
      <c r="C28" s="53" t="s">
        <v>23</v>
      </c>
      <c r="D28" s="79">
        <v>120</v>
      </c>
      <c r="E28" s="56">
        <v>25</v>
      </c>
      <c r="F28" s="56">
        <f t="shared" si="9"/>
        <v>3000</v>
      </c>
      <c r="G28" s="56">
        <f>F28*0</f>
        <v>0</v>
      </c>
      <c r="H28" s="74">
        <f>E28*1</f>
        <v>25</v>
      </c>
      <c r="I28" s="56">
        <f t="shared" si="10"/>
        <v>3000</v>
      </c>
      <c r="J28" s="83"/>
      <c r="N28" s="66"/>
    </row>
    <row r="29" spans="1:18" s="21" customFormat="1" x14ac:dyDescent="0.25">
      <c r="A29" s="53"/>
      <c r="B29" s="47"/>
      <c r="C29" s="82"/>
      <c r="D29" s="57"/>
      <c r="E29" s="56"/>
      <c r="F29" s="56">
        <f t="shared" si="9"/>
        <v>0</v>
      </c>
      <c r="G29" s="56">
        <f t="shared" si="0"/>
        <v>0</v>
      </c>
      <c r="H29" s="57">
        <f t="shared" si="1"/>
        <v>0</v>
      </c>
      <c r="I29" s="56">
        <f t="shared" si="10"/>
        <v>0</v>
      </c>
      <c r="J29" s="58"/>
      <c r="M29" s="21">
        <f t="shared" si="2"/>
        <v>448.8</v>
      </c>
      <c r="N29" s="66" t="e">
        <f>M29-#REF!</f>
        <v>#REF!</v>
      </c>
      <c r="O29" s="21" t="e">
        <f t="shared" si="3"/>
        <v>#REF!</v>
      </c>
    </row>
    <row r="30" spans="1:18" ht="15.75" thickBot="1" x14ac:dyDescent="0.3">
      <c r="A30" s="33"/>
      <c r="B30" s="34" t="s">
        <v>24</v>
      </c>
      <c r="C30" s="35"/>
      <c r="D30" s="62">
        <f>SUM(D16:D29)</f>
        <v>1158</v>
      </c>
      <c r="E30" s="35"/>
      <c r="F30" s="62">
        <f>SUM(F16:F29)</f>
        <v>43760</v>
      </c>
      <c r="G30" s="62">
        <f>SUM(G16:G29)</f>
        <v>6025.4800000000005</v>
      </c>
      <c r="H30" s="35"/>
      <c r="I30" s="62">
        <f>SUM(I16:I29)</f>
        <v>49785.479999999996</v>
      </c>
      <c r="J30" s="37"/>
      <c r="M30" t="e">
        <f>#REF!/117*100</f>
        <v>#REF!</v>
      </c>
      <c r="O30" t="e">
        <f>M30*1.1</f>
        <v>#REF!</v>
      </c>
    </row>
    <row r="31" spans="1:18" ht="15.75" thickTop="1" x14ac:dyDescent="0.25">
      <c r="A31" s="33"/>
      <c r="B31" s="34" t="s">
        <v>1027</v>
      </c>
      <c r="C31" s="35"/>
      <c r="D31" s="35"/>
      <c r="E31" s="35"/>
      <c r="F31" s="35"/>
      <c r="G31" s="35"/>
      <c r="H31" s="35"/>
      <c r="I31" s="35"/>
      <c r="J31" s="37"/>
    </row>
    <row r="32" spans="1:18" x14ac:dyDescent="0.25">
      <c r="A32" s="33"/>
      <c r="B32" s="38" t="s">
        <v>25</v>
      </c>
      <c r="C32" s="35"/>
      <c r="D32" s="35"/>
      <c r="E32" s="35"/>
      <c r="F32" s="35"/>
      <c r="G32" s="35"/>
      <c r="H32" s="35"/>
      <c r="I32" s="35"/>
      <c r="J32" s="37"/>
      <c r="M32" s="64" t="e">
        <f>M30*#REF!</f>
        <v>#REF!</v>
      </c>
      <c r="O32" s="65" t="e">
        <f>#REF!</f>
        <v>#REF!</v>
      </c>
      <c r="P32" s="64" t="e">
        <f>O32-M32</f>
        <v>#REF!</v>
      </c>
      <c r="Q32" s="64" t="e">
        <f>#REF!*0.045</f>
        <v>#REF!</v>
      </c>
      <c r="R32" s="64" t="e">
        <f>P32-Q32</f>
        <v>#REF!</v>
      </c>
    </row>
    <row r="33" spans="2:18" ht="30" customHeight="1" x14ac:dyDescent="0.25">
      <c r="B33" s="183" t="s">
        <v>26</v>
      </c>
      <c r="C33" s="183"/>
      <c r="D33" s="183"/>
      <c r="E33" s="183"/>
      <c r="F33" s="183"/>
      <c r="G33" s="183"/>
      <c r="H33" s="183"/>
      <c r="I33" s="183"/>
      <c r="J33" s="183"/>
      <c r="P33" s="64"/>
      <c r="R33" s="65" t="e">
        <f>#REF!-#REF!</f>
        <v>#REF!</v>
      </c>
    </row>
    <row r="34" spans="2:18" x14ac:dyDescent="0.25">
      <c r="B34" t="s">
        <v>634</v>
      </c>
    </row>
    <row r="37" spans="2:18" x14ac:dyDescent="0.25">
      <c r="B37" t="s">
        <v>28</v>
      </c>
      <c r="H37" t="s">
        <v>28</v>
      </c>
    </row>
    <row r="38" spans="2:18" x14ac:dyDescent="0.25">
      <c r="B38" t="s">
        <v>29</v>
      </c>
      <c r="H38" t="s">
        <v>30</v>
      </c>
    </row>
  </sheetData>
  <autoFilter ref="A15:J34" xr:uid="{00000000-0009-0000-0000-000000000000}"/>
  <mergeCells count="5">
    <mergeCell ref="A6:J6"/>
    <mergeCell ref="I7:J7"/>
    <mergeCell ref="I8:J8"/>
    <mergeCell ref="I9:J9"/>
    <mergeCell ref="B33:J33"/>
  </mergeCells>
  <hyperlinks>
    <hyperlink ref="H5" r:id="rId1" xr:uid="{E5697CA2-6DC2-4A30-9746-58A839C71EA2}"/>
  </hyperlinks>
  <pageMargins left="0.2" right="0.1" top="0.25" bottom="0.25" header="0.3" footer="0.3"/>
  <pageSetup paperSize="9" orientation="portrait" r:id="rId2"/>
  <drawing r:id="rId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05256-534E-4105-8AB5-464DFA558BB0}">
  <dimension ref="A1:J26"/>
  <sheetViews>
    <sheetView workbookViewId="0">
      <selection activeCell="D16" sqref="D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997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1007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1008</v>
      </c>
      <c r="D10" s="10"/>
      <c r="E10" s="10"/>
      <c r="F10" s="10"/>
    </row>
    <row r="11" spans="1:10" x14ac:dyDescent="0.25">
      <c r="B11" t="s">
        <v>11</v>
      </c>
      <c r="C11" s="10" t="s">
        <v>999</v>
      </c>
      <c r="D11" s="11"/>
      <c r="E11" s="11"/>
      <c r="F11" s="11"/>
    </row>
    <row r="12" spans="1:10" x14ac:dyDescent="0.25">
      <c r="A12" s="12"/>
      <c r="B12" s="13"/>
      <c r="C12" s="14" t="s">
        <v>1000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1009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1010</v>
      </c>
      <c r="C16" s="54" t="s">
        <v>23</v>
      </c>
      <c r="D16" s="72">
        <v>5</v>
      </c>
      <c r="E16" s="56">
        <v>3000</v>
      </c>
      <c r="F16" s="56">
        <f t="shared" ref="F16" si="0">D16*E16</f>
        <v>15000</v>
      </c>
      <c r="G16" s="56">
        <f>F16*0.17</f>
        <v>2550</v>
      </c>
      <c r="H16" s="84">
        <f>E16*1.17</f>
        <v>3510</v>
      </c>
      <c r="I16" s="56">
        <f t="shared" ref="I16" si="1">H16*D16</f>
        <v>17550</v>
      </c>
      <c r="J16" s="58"/>
    </row>
    <row r="17" spans="1:10" s="21" customFormat="1" ht="30" x14ac:dyDescent="0.25">
      <c r="A17" s="53">
        <v>1</v>
      </c>
      <c r="B17" s="47" t="s">
        <v>1011</v>
      </c>
      <c r="C17" s="54" t="s">
        <v>23</v>
      </c>
      <c r="D17" s="72">
        <v>1</v>
      </c>
      <c r="E17" s="56">
        <v>7500</v>
      </c>
      <c r="F17" s="56">
        <f t="shared" ref="F17" si="2">D17*E17</f>
        <v>7500</v>
      </c>
      <c r="G17" s="56">
        <f>F17*0.17</f>
        <v>1275</v>
      </c>
      <c r="H17" s="84">
        <f>E17*1.17</f>
        <v>8775</v>
      </c>
      <c r="I17" s="56">
        <f t="shared" ref="I17" si="3">H17*D17</f>
        <v>8775</v>
      </c>
      <c r="J17" s="58"/>
    </row>
    <row r="18" spans="1:10" ht="15.75" thickBot="1" x14ac:dyDescent="0.3">
      <c r="A18" s="33"/>
      <c r="B18" s="34" t="s">
        <v>24</v>
      </c>
      <c r="C18" s="35"/>
      <c r="D18" s="62">
        <f>SUM(D16:D17)</f>
        <v>6</v>
      </c>
      <c r="E18" s="35"/>
      <c r="F18" s="62">
        <f>SUM(F16:F17)</f>
        <v>22500</v>
      </c>
      <c r="G18" s="62">
        <f>SUM(G16:G17)</f>
        <v>3825</v>
      </c>
      <c r="H18" s="35"/>
      <c r="I18" s="62">
        <f>SUM(I16:I17)</f>
        <v>26325</v>
      </c>
      <c r="J18" s="37"/>
    </row>
    <row r="19" spans="1:10" ht="15.75" thickTop="1" x14ac:dyDescent="0.25">
      <c r="A19" s="33"/>
      <c r="B19" s="34" t="s">
        <v>1012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634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A63F005C-1FBF-4518-A162-06BFBECC9EC4}"/>
  </hyperlinks>
  <pageMargins left="0.2" right="0.1" top="0.25" bottom="0.25" header="0.3" footer="0.3"/>
  <pageSetup paperSize="9" orientation="portrait" r:id="rId2"/>
  <drawing r:id="rId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18F0E-F547-4F88-9CFD-62B819FB4A84}">
  <dimension ref="A1:J25"/>
  <sheetViews>
    <sheetView workbookViewId="0">
      <selection activeCell="A3" sqref="A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997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1006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998</v>
      </c>
      <c r="D10" s="10"/>
      <c r="E10" s="10"/>
      <c r="F10" s="10"/>
    </row>
    <row r="11" spans="1:10" x14ac:dyDescent="0.25">
      <c r="B11" t="s">
        <v>11</v>
      </c>
      <c r="C11" s="10" t="s">
        <v>999</v>
      </c>
      <c r="D11" s="11"/>
      <c r="E11" s="11"/>
      <c r="F11" s="11"/>
    </row>
    <row r="12" spans="1:10" x14ac:dyDescent="0.25">
      <c r="A12" s="12"/>
      <c r="B12" s="13"/>
      <c r="C12" s="14" t="s">
        <v>1000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1001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ht="30" x14ac:dyDescent="0.25">
      <c r="A16" s="53">
        <v>1</v>
      </c>
      <c r="B16" s="47" t="s">
        <v>1002</v>
      </c>
      <c r="C16" s="54" t="s">
        <v>23</v>
      </c>
      <c r="D16" s="72">
        <v>3</v>
      </c>
      <c r="E16" s="56">
        <v>3200</v>
      </c>
      <c r="F16" s="56">
        <f t="shared" ref="F16" si="0">D16*E16</f>
        <v>9600</v>
      </c>
      <c r="G16" s="56">
        <f>F16*0.17</f>
        <v>1632.0000000000002</v>
      </c>
      <c r="H16" s="84">
        <f>E16*1.17</f>
        <v>3744</v>
      </c>
      <c r="I16" s="56">
        <f t="shared" ref="I16" si="1">H16*D16</f>
        <v>11232</v>
      </c>
      <c r="J16" s="58"/>
    </row>
    <row r="17" spans="1:10" ht="15.75" thickBot="1" x14ac:dyDescent="0.3">
      <c r="A17" s="33"/>
      <c r="B17" s="34" t="s">
        <v>24</v>
      </c>
      <c r="C17" s="35"/>
      <c r="D17" s="73">
        <f>SUM(D16:D16)</f>
        <v>3</v>
      </c>
      <c r="E17" s="35"/>
      <c r="F17" s="62">
        <f>SUM(F16:F16)</f>
        <v>9600</v>
      </c>
      <c r="G17" s="62">
        <f>SUM(G16:G16)</f>
        <v>1632.0000000000002</v>
      </c>
      <c r="H17" s="35"/>
      <c r="I17" s="62">
        <f>SUM(I16:I16)</f>
        <v>11232</v>
      </c>
      <c r="J17" s="37"/>
    </row>
    <row r="18" spans="1:10" ht="15.75" thickTop="1" x14ac:dyDescent="0.25">
      <c r="A18" s="33"/>
      <c r="B18" s="34" t="s">
        <v>1003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B9DAA500-4D1B-4D61-AF9C-E18DB9132277}"/>
  </hyperlinks>
  <pageMargins left="0.2" right="0.1" top="0.25" bottom="0.25" header="0.3" footer="0.3"/>
  <pageSetup paperSize="9" orientation="portrait" r:id="rId2"/>
  <drawing r:id="rId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AB848-CCF4-4782-AE7F-365DD3646129}">
  <dimension ref="A1:J25"/>
  <sheetViews>
    <sheetView workbookViewId="0">
      <selection activeCell="C10" sqref="C10:C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990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993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994</v>
      </c>
      <c r="C16" s="54" t="s">
        <v>23</v>
      </c>
      <c r="D16" s="72">
        <v>10</v>
      </c>
      <c r="E16" s="56">
        <v>380</v>
      </c>
      <c r="F16" s="56">
        <f t="shared" ref="F16" si="0">D16*E16</f>
        <v>3800</v>
      </c>
      <c r="G16" s="56">
        <f>F16*0.17</f>
        <v>646</v>
      </c>
      <c r="H16" s="84">
        <f>E16*1.17</f>
        <v>444.59999999999997</v>
      </c>
      <c r="I16" s="56">
        <f t="shared" ref="I16" si="1">H16*D16</f>
        <v>4446</v>
      </c>
      <c r="J16" s="58"/>
    </row>
    <row r="17" spans="1:10" ht="15.75" thickBot="1" x14ac:dyDescent="0.3">
      <c r="A17" s="33"/>
      <c r="B17" s="34" t="s">
        <v>24</v>
      </c>
      <c r="C17" s="35"/>
      <c r="D17" s="73">
        <f>SUM(D16:D16)</f>
        <v>10</v>
      </c>
      <c r="E17" s="35"/>
      <c r="F17" s="62">
        <f>SUM(F16:F16)</f>
        <v>3800</v>
      </c>
      <c r="G17" s="62">
        <f>SUM(G16:G16)</f>
        <v>646</v>
      </c>
      <c r="H17" s="35"/>
      <c r="I17" s="62">
        <f>SUM(I16:I16)</f>
        <v>4446</v>
      </c>
      <c r="J17" s="37"/>
    </row>
    <row r="18" spans="1:10" ht="15.75" thickTop="1" x14ac:dyDescent="0.25">
      <c r="A18" s="33"/>
      <c r="B18" s="34" t="s">
        <v>995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7F1D93B9-ECA9-4BB4-A96A-9AD35E955B9A}"/>
  </hyperlinks>
  <pageMargins left="0.2" right="0.1" top="0.25" bottom="0.25" header="0.3" footer="0.3"/>
  <pageSetup paperSize="9" orientation="portrait" r:id="rId2"/>
  <drawing r:id="rId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BE553-1A51-4181-9460-5900587C3434}">
  <dimension ref="A1:J25"/>
  <sheetViews>
    <sheetView workbookViewId="0">
      <selection activeCell="B16" sqref="B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990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991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992</v>
      </c>
      <c r="C16" s="54" t="s">
        <v>76</v>
      </c>
      <c r="D16" s="72">
        <v>5</v>
      </c>
      <c r="E16" s="56">
        <v>1650</v>
      </c>
      <c r="F16" s="56">
        <f t="shared" ref="F16" si="0">D16*E16</f>
        <v>8250</v>
      </c>
      <c r="G16" s="56">
        <f>F16*0.17</f>
        <v>1402.5</v>
      </c>
      <c r="H16" s="84">
        <f>E16*1.17</f>
        <v>1930.4999999999998</v>
      </c>
      <c r="I16" s="56">
        <f t="shared" ref="I16" si="1">H16*D16</f>
        <v>9652.4999999999982</v>
      </c>
      <c r="J16" s="58"/>
    </row>
    <row r="17" spans="1:10" ht="15.75" thickBot="1" x14ac:dyDescent="0.3">
      <c r="A17" s="33"/>
      <c r="B17" s="34" t="s">
        <v>24</v>
      </c>
      <c r="C17" s="35"/>
      <c r="D17" s="73">
        <f>SUM(D16:D16)</f>
        <v>5</v>
      </c>
      <c r="E17" s="35"/>
      <c r="F17" s="62">
        <f>SUM(F16:F16)</f>
        <v>8250</v>
      </c>
      <c r="G17" s="62">
        <f>SUM(G16:G16)</f>
        <v>1402.5</v>
      </c>
      <c r="H17" s="35"/>
      <c r="I17" s="62">
        <f>SUM(I16:I16)</f>
        <v>9652.4999999999982</v>
      </c>
      <c r="J17" s="37"/>
    </row>
    <row r="18" spans="1:10" ht="15.75" thickTop="1" x14ac:dyDescent="0.25">
      <c r="A18" s="33"/>
      <c r="B18" s="34" t="s">
        <v>996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C1F49DA7-88F4-4985-830B-E53EA48EA9C6}"/>
  </hyperlinks>
  <pageMargins left="0.2" right="0.1" top="0.25" bottom="0.25" header="0.3" footer="0.3"/>
  <pageSetup paperSize="9" orientation="portrait" r:id="rId2"/>
  <drawing r:id="rId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AEB85-BBAA-4E48-A766-F5649802FD2D}">
  <dimension ref="A1:R25"/>
  <sheetViews>
    <sheetView workbookViewId="0">
      <selection activeCell="C10" sqref="C10:C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990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989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601</v>
      </c>
      <c r="D10" s="10"/>
      <c r="E10" s="10"/>
      <c r="F10" s="10"/>
    </row>
    <row r="11" spans="1:15" x14ac:dyDescent="0.25">
      <c r="B11" t="s">
        <v>11</v>
      </c>
      <c r="C11" s="10" t="s">
        <v>736</v>
      </c>
      <c r="D11" s="11"/>
      <c r="E11" s="11"/>
      <c r="F11" s="11"/>
    </row>
    <row r="12" spans="1:15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5" ht="5.0999999999999996" customHeight="1" thickBot="1" x14ac:dyDescent="0.3">
      <c r="C14" s="14"/>
    </row>
    <row r="15" spans="1:15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  <c r="M15" s="21" t="s">
        <v>738</v>
      </c>
    </row>
    <row r="16" spans="1:15" s="21" customFormat="1" x14ac:dyDescent="0.25">
      <c r="A16" s="53">
        <v>1</v>
      </c>
      <c r="B16" s="47" t="s">
        <v>737</v>
      </c>
      <c r="C16" s="54" t="s">
        <v>23</v>
      </c>
      <c r="D16" s="55">
        <v>150</v>
      </c>
      <c r="E16" s="56">
        <v>480</v>
      </c>
      <c r="F16" s="56">
        <f>D16*E16</f>
        <v>72000</v>
      </c>
      <c r="G16" s="56">
        <f>F16*0.17</f>
        <v>12240</v>
      </c>
      <c r="H16" s="57">
        <f>E16*1.17</f>
        <v>561.59999999999991</v>
      </c>
      <c r="I16" s="56">
        <f>H16*D16</f>
        <v>84239.999999999985</v>
      </c>
      <c r="J16" s="58"/>
      <c r="M16" s="21">
        <f>440*1.02</f>
        <v>448.8</v>
      </c>
      <c r="N16" s="66" t="e">
        <f>M16-#REF!</f>
        <v>#REF!</v>
      </c>
      <c r="O16" s="21" t="e">
        <f>N16*D16</f>
        <v>#REF!</v>
      </c>
    </row>
    <row r="17" spans="1:18" ht="15.75" thickBot="1" x14ac:dyDescent="0.3">
      <c r="A17" s="33"/>
      <c r="B17" s="34" t="s">
        <v>24</v>
      </c>
      <c r="C17" s="35"/>
      <c r="D17" s="62">
        <f>SUM(D16:D16)</f>
        <v>150</v>
      </c>
      <c r="E17" s="35"/>
      <c r="F17" s="62">
        <f>SUM(F16:F16)</f>
        <v>72000</v>
      </c>
      <c r="G17" s="62">
        <f>SUM(G16:G16)</f>
        <v>12240</v>
      </c>
      <c r="H17" s="35"/>
      <c r="I17" s="62">
        <f>SUM(I16:I16)</f>
        <v>84239.999999999985</v>
      </c>
      <c r="J17" s="37"/>
      <c r="M17" t="e">
        <f>#REF!/117*100</f>
        <v>#REF!</v>
      </c>
      <c r="O17" t="e">
        <f>M17*1.1</f>
        <v>#REF!</v>
      </c>
    </row>
    <row r="18" spans="1:18" ht="15.75" thickTop="1" x14ac:dyDescent="0.25">
      <c r="A18" s="33"/>
      <c r="B18" s="34" t="s">
        <v>882</v>
      </c>
      <c r="C18" s="35"/>
      <c r="D18" s="35"/>
      <c r="E18" s="35"/>
      <c r="F18" s="35"/>
      <c r="G18" s="35"/>
      <c r="H18" s="35"/>
      <c r="I18" s="35"/>
      <c r="J18" s="37"/>
    </row>
    <row r="19" spans="1:18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  <c r="M19" s="64" t="e">
        <f>M17*#REF!</f>
        <v>#REF!</v>
      </c>
      <c r="O19" s="65" t="e">
        <f>#REF!</f>
        <v>#REF!</v>
      </c>
      <c r="P19" s="64" t="e">
        <f>O19-M19</f>
        <v>#REF!</v>
      </c>
      <c r="Q19" s="64" t="e">
        <f>#REF!*0.045</f>
        <v>#REF!</v>
      </c>
      <c r="R19" s="64" t="e">
        <f>P19-Q19</f>
        <v>#REF!</v>
      </c>
    </row>
    <row r="20" spans="1:18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  <c r="P20" s="64"/>
      <c r="R20" s="65" t="e">
        <f>#REF!-#REF!</f>
        <v>#REF!</v>
      </c>
    </row>
    <row r="21" spans="1:18" x14ac:dyDescent="0.25">
      <c r="B21" t="s">
        <v>27</v>
      </c>
    </row>
    <row r="24" spans="1:18" x14ac:dyDescent="0.25">
      <c r="B24" t="s">
        <v>28</v>
      </c>
      <c r="H24" t="s">
        <v>28</v>
      </c>
    </row>
    <row r="25" spans="1:18" x14ac:dyDescent="0.25">
      <c r="B25" t="s">
        <v>29</v>
      </c>
      <c r="H25" t="s">
        <v>30</v>
      </c>
    </row>
  </sheetData>
  <autoFilter ref="A15:J21" xr:uid="{00000000-0009-0000-0000-000005000000}"/>
  <mergeCells count="5">
    <mergeCell ref="A6:J6"/>
    <mergeCell ref="I7:J7"/>
    <mergeCell ref="I8:J8"/>
    <mergeCell ref="I9:J9"/>
    <mergeCell ref="B20:J20"/>
  </mergeCells>
  <hyperlinks>
    <hyperlink ref="H5" r:id="rId1" xr:uid="{7E24E98C-BFF8-47B9-ABBE-8B77C859DDDF}"/>
  </hyperlinks>
  <pageMargins left="0.2" right="0.1" top="0.25" bottom="0.25" header="0.3" footer="0.3"/>
  <pageSetup paperSize="9" orientation="portrait" r:id="rId2"/>
  <drawing r:id="rId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05249-A9A0-47F6-BB0C-535CA6AE2792}">
  <dimension ref="A1:R32"/>
  <sheetViews>
    <sheetView workbookViewId="0">
      <selection activeCell="I11" sqref="I1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980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979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754</v>
      </c>
      <c r="D10" s="10"/>
      <c r="E10" s="10"/>
      <c r="F10" s="10"/>
    </row>
    <row r="11" spans="1:15" x14ac:dyDescent="0.25">
      <c r="B11" t="s">
        <v>11</v>
      </c>
      <c r="C11" s="10" t="s">
        <v>755</v>
      </c>
      <c r="D11" s="11"/>
      <c r="E11" s="11"/>
      <c r="F11" s="11"/>
    </row>
    <row r="12" spans="1:15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25.5" x14ac:dyDescent="0.25">
      <c r="A16" s="53">
        <v>1</v>
      </c>
      <c r="B16" s="78" t="s">
        <v>981</v>
      </c>
      <c r="C16" s="53" t="s">
        <v>23</v>
      </c>
      <c r="D16" s="79">
        <v>5</v>
      </c>
      <c r="E16" s="56">
        <v>150</v>
      </c>
      <c r="F16" s="56">
        <f>D16*E16</f>
        <v>750</v>
      </c>
      <c r="G16" s="56">
        <f t="shared" ref="G16:G23" si="0">F16*0.17</f>
        <v>127.50000000000001</v>
      </c>
      <c r="H16" s="74">
        <f t="shared" ref="H16:H23" si="1">E16*1.17</f>
        <v>175.5</v>
      </c>
      <c r="I16" s="56">
        <f>H16*D16</f>
        <v>877.5</v>
      </c>
      <c r="J16" s="83"/>
      <c r="M16" s="21">
        <f t="shared" ref="M16:M23" si="2">440*1.02</f>
        <v>448.8</v>
      </c>
      <c r="N16" s="66" t="e">
        <f>M16-#REF!</f>
        <v>#REF!</v>
      </c>
      <c r="O16" s="21" t="e">
        <f t="shared" ref="O16:O23" si="3">N16*D16</f>
        <v>#REF!</v>
      </c>
    </row>
    <row r="17" spans="1:18" s="21" customFormat="1" ht="15.75" x14ac:dyDescent="0.25">
      <c r="A17" s="53">
        <v>2</v>
      </c>
      <c r="B17" s="78" t="s">
        <v>982</v>
      </c>
      <c r="C17" s="53" t="s">
        <v>23</v>
      </c>
      <c r="D17" s="79">
        <v>30</v>
      </c>
      <c r="E17" s="56">
        <v>150</v>
      </c>
      <c r="F17" s="56">
        <f t="shared" ref="F17:F22" si="4">D17*E17</f>
        <v>4500</v>
      </c>
      <c r="G17" s="56">
        <f t="shared" ref="G17:G22" si="5">F17*0.17</f>
        <v>765</v>
      </c>
      <c r="H17" s="74">
        <f t="shared" ref="H17:H22" si="6">E17*1.17</f>
        <v>175.5</v>
      </c>
      <c r="I17" s="56">
        <f t="shared" ref="I17:I22" si="7">H17*D17</f>
        <v>5265</v>
      </c>
      <c r="J17" s="83"/>
      <c r="N17" s="66"/>
    </row>
    <row r="18" spans="1:18" s="21" customFormat="1" ht="15.75" x14ac:dyDescent="0.25">
      <c r="A18" s="53">
        <v>3</v>
      </c>
      <c r="B18" s="78" t="s">
        <v>983</v>
      </c>
      <c r="C18" s="53" t="s">
        <v>23</v>
      </c>
      <c r="D18" s="79">
        <v>6</v>
      </c>
      <c r="E18" s="56">
        <v>130</v>
      </c>
      <c r="F18" s="56">
        <f t="shared" si="4"/>
        <v>780</v>
      </c>
      <c r="G18" s="56">
        <f t="shared" si="5"/>
        <v>132.60000000000002</v>
      </c>
      <c r="H18" s="74">
        <f t="shared" si="6"/>
        <v>152.1</v>
      </c>
      <c r="I18" s="56">
        <f t="shared" si="7"/>
        <v>912.59999999999991</v>
      </c>
      <c r="J18" s="83"/>
      <c r="N18" s="66"/>
    </row>
    <row r="19" spans="1:18" s="21" customFormat="1" ht="15.75" x14ac:dyDescent="0.25">
      <c r="A19" s="53">
        <v>4</v>
      </c>
      <c r="B19" s="78" t="s">
        <v>984</v>
      </c>
      <c r="C19" s="53" t="s">
        <v>895</v>
      </c>
      <c r="D19" s="79">
        <v>30</v>
      </c>
      <c r="E19" s="56">
        <v>65</v>
      </c>
      <c r="F19" s="56">
        <f t="shared" si="4"/>
        <v>1950</v>
      </c>
      <c r="G19" s="56">
        <f t="shared" si="5"/>
        <v>331.5</v>
      </c>
      <c r="H19" s="74">
        <f t="shared" si="6"/>
        <v>76.05</v>
      </c>
      <c r="I19" s="56">
        <f t="shared" si="7"/>
        <v>2281.5</v>
      </c>
      <c r="J19" s="83"/>
      <c r="N19" s="66"/>
    </row>
    <row r="20" spans="1:18" s="21" customFormat="1" ht="51" x14ac:dyDescent="0.25">
      <c r="A20" s="53">
        <v>5</v>
      </c>
      <c r="B20" s="78" t="s">
        <v>985</v>
      </c>
      <c r="C20" s="53" t="s">
        <v>987</v>
      </c>
      <c r="D20" s="79">
        <v>20</v>
      </c>
      <c r="E20" s="56">
        <v>100</v>
      </c>
      <c r="F20" s="56">
        <f t="shared" si="4"/>
        <v>2000</v>
      </c>
      <c r="G20" s="56">
        <f t="shared" si="5"/>
        <v>340</v>
      </c>
      <c r="H20" s="74">
        <f t="shared" si="6"/>
        <v>117</v>
      </c>
      <c r="I20" s="56">
        <f t="shared" si="7"/>
        <v>2340</v>
      </c>
      <c r="J20" s="83"/>
      <c r="N20" s="66"/>
    </row>
    <row r="21" spans="1:18" s="21" customFormat="1" ht="15.75" x14ac:dyDescent="0.25">
      <c r="A21" s="53">
        <v>6</v>
      </c>
      <c r="B21" s="78" t="s">
        <v>986</v>
      </c>
      <c r="C21" s="53" t="s">
        <v>192</v>
      </c>
      <c r="D21" s="79">
        <v>2</v>
      </c>
      <c r="E21" s="56">
        <v>135</v>
      </c>
      <c r="F21" s="56">
        <f t="shared" si="4"/>
        <v>270</v>
      </c>
      <c r="G21" s="56">
        <f t="shared" si="5"/>
        <v>45.900000000000006</v>
      </c>
      <c r="H21" s="74">
        <f t="shared" si="6"/>
        <v>157.94999999999999</v>
      </c>
      <c r="I21" s="56">
        <f t="shared" si="7"/>
        <v>315.89999999999998</v>
      </c>
      <c r="J21" s="83"/>
      <c r="N21" s="66"/>
    </row>
    <row r="22" spans="1:18" s="21" customFormat="1" ht="15.75" x14ac:dyDescent="0.25">
      <c r="A22" s="53">
        <v>7</v>
      </c>
      <c r="B22" s="78" t="s">
        <v>984</v>
      </c>
      <c r="C22" s="53" t="s">
        <v>987</v>
      </c>
      <c r="D22" s="79">
        <v>8</v>
      </c>
      <c r="E22" s="56">
        <v>100</v>
      </c>
      <c r="F22" s="56">
        <f t="shared" si="4"/>
        <v>800</v>
      </c>
      <c r="G22" s="56">
        <f t="shared" si="5"/>
        <v>136</v>
      </c>
      <c r="H22" s="74">
        <f t="shared" si="6"/>
        <v>117</v>
      </c>
      <c r="I22" s="56">
        <f t="shared" si="7"/>
        <v>936</v>
      </c>
      <c r="J22" s="83"/>
      <c r="N22" s="66"/>
    </row>
    <row r="23" spans="1:18" s="21" customFormat="1" x14ac:dyDescent="0.25">
      <c r="A23" s="53"/>
      <c r="B23" s="47"/>
      <c r="C23" s="82"/>
      <c r="D23" s="57"/>
      <c r="E23" s="56"/>
      <c r="F23" s="56">
        <f t="shared" ref="F23" si="8">D23*E23</f>
        <v>0</v>
      </c>
      <c r="G23" s="56">
        <f t="shared" si="0"/>
        <v>0</v>
      </c>
      <c r="H23" s="57">
        <f t="shared" si="1"/>
        <v>0</v>
      </c>
      <c r="I23" s="56">
        <f t="shared" ref="I23" si="9">H23*D23</f>
        <v>0</v>
      </c>
      <c r="J23" s="58"/>
      <c r="M23" s="21">
        <f t="shared" si="2"/>
        <v>448.8</v>
      </c>
      <c r="N23" s="66" t="e">
        <f>M23-#REF!</f>
        <v>#REF!</v>
      </c>
      <c r="O23" s="21" t="e">
        <f t="shared" si="3"/>
        <v>#REF!</v>
      </c>
    </row>
    <row r="24" spans="1:18" ht="15.75" thickBot="1" x14ac:dyDescent="0.3">
      <c r="A24" s="33"/>
      <c r="B24" s="34" t="s">
        <v>24</v>
      </c>
      <c r="C24" s="35"/>
      <c r="D24" s="62">
        <f>SUM(D16:D23)</f>
        <v>101</v>
      </c>
      <c r="E24" s="35"/>
      <c r="F24" s="62">
        <f>SUM(F16:F23)</f>
        <v>11050</v>
      </c>
      <c r="G24" s="62">
        <f>SUM(G16:G23)</f>
        <v>1878.5</v>
      </c>
      <c r="H24" s="35"/>
      <c r="I24" s="62">
        <f>SUM(I16:I23)</f>
        <v>12928.5</v>
      </c>
      <c r="J24" s="37"/>
      <c r="M24" t="e">
        <f>#REF!/117*100</f>
        <v>#REF!</v>
      </c>
      <c r="O24" t="e">
        <f>M24*1.1</f>
        <v>#REF!</v>
      </c>
    </row>
    <row r="25" spans="1:18" ht="15.75" thickTop="1" x14ac:dyDescent="0.25">
      <c r="A25" s="33"/>
      <c r="B25" s="34" t="s">
        <v>988</v>
      </c>
      <c r="C25" s="35"/>
      <c r="D25" s="35"/>
      <c r="E25" s="35"/>
      <c r="F25" s="35"/>
      <c r="G25" s="35"/>
      <c r="H25" s="35"/>
      <c r="I25" s="35"/>
      <c r="J25" s="37"/>
    </row>
    <row r="26" spans="1:18" x14ac:dyDescent="0.25">
      <c r="A26" s="33"/>
      <c r="B26" s="38" t="s">
        <v>25</v>
      </c>
      <c r="C26" s="35"/>
      <c r="D26" s="35"/>
      <c r="E26" s="35"/>
      <c r="F26" s="35"/>
      <c r="G26" s="35"/>
      <c r="H26" s="35"/>
      <c r="I26" s="35"/>
      <c r="J26" s="37"/>
      <c r="M26" s="64" t="e">
        <f>M24*#REF!</f>
        <v>#REF!</v>
      </c>
      <c r="O26" s="65" t="e">
        <f>#REF!</f>
        <v>#REF!</v>
      </c>
      <c r="P26" s="64" t="e">
        <f>O26-M26</f>
        <v>#REF!</v>
      </c>
      <c r="Q26" s="64" t="e">
        <f>#REF!*0.045</f>
        <v>#REF!</v>
      </c>
      <c r="R26" s="64" t="e">
        <f>P26-Q26</f>
        <v>#REF!</v>
      </c>
    </row>
    <row r="27" spans="1:18" ht="30" customHeight="1" x14ac:dyDescent="0.25">
      <c r="B27" s="183" t="s">
        <v>26</v>
      </c>
      <c r="C27" s="183"/>
      <c r="D27" s="183"/>
      <c r="E27" s="183"/>
      <c r="F27" s="183"/>
      <c r="G27" s="183"/>
      <c r="H27" s="183"/>
      <c r="I27" s="183"/>
      <c r="J27" s="183"/>
      <c r="P27" s="64"/>
      <c r="R27" s="65" t="e">
        <f>#REF!-#REF!</f>
        <v>#REF!</v>
      </c>
    </row>
    <row r="28" spans="1:18" x14ac:dyDescent="0.25">
      <c r="B28" t="s">
        <v>27</v>
      </c>
    </row>
    <row r="31" spans="1:18" x14ac:dyDescent="0.25">
      <c r="B31" t="s">
        <v>28</v>
      </c>
      <c r="H31" t="s">
        <v>28</v>
      </c>
    </row>
    <row r="32" spans="1:18" x14ac:dyDescent="0.25">
      <c r="B32" t="s">
        <v>29</v>
      </c>
      <c r="H32" t="s">
        <v>30</v>
      </c>
    </row>
  </sheetData>
  <autoFilter ref="A15:J28" xr:uid="{00000000-0009-0000-0000-000000000000}"/>
  <mergeCells count="5">
    <mergeCell ref="A6:J6"/>
    <mergeCell ref="I7:J7"/>
    <mergeCell ref="I8:J8"/>
    <mergeCell ref="I9:J9"/>
    <mergeCell ref="B27:J27"/>
  </mergeCells>
  <hyperlinks>
    <hyperlink ref="H5" r:id="rId1" xr:uid="{7159014C-7CF9-411D-979C-FE6A77FB7A70}"/>
  </hyperlinks>
  <pageMargins left="0.2" right="0.1" top="0.25" bottom="0.25" header="0.3" footer="0.3"/>
  <pageSetup paperSize="9" orientation="portrait" r:id="rId2"/>
  <drawing r:id="rId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53BC8-CB17-4D91-8B66-C74C78A42577}">
  <dimension ref="A1:R26"/>
  <sheetViews>
    <sheetView workbookViewId="0">
      <selection activeCell="A18" sqref="A1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975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976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601</v>
      </c>
      <c r="D10" s="10"/>
      <c r="E10" s="10"/>
      <c r="F10" s="10"/>
    </row>
    <row r="11" spans="1:15" x14ac:dyDescent="0.25">
      <c r="B11" t="s">
        <v>11</v>
      </c>
      <c r="C11" s="10" t="s">
        <v>875</v>
      </c>
      <c r="D11" s="11"/>
      <c r="E11" s="11"/>
      <c r="F11" s="11"/>
    </row>
    <row r="12" spans="1:15" x14ac:dyDescent="0.25">
      <c r="A12" s="12"/>
      <c r="B12" s="13"/>
      <c r="C12" s="14" t="s">
        <v>876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25.5" x14ac:dyDescent="0.25">
      <c r="A16" s="53">
        <v>1</v>
      </c>
      <c r="B16" s="78" t="s">
        <v>977</v>
      </c>
      <c r="C16" s="53" t="s">
        <v>23</v>
      </c>
      <c r="D16" s="79">
        <v>15</v>
      </c>
      <c r="E16" s="56">
        <v>220</v>
      </c>
      <c r="F16" s="56">
        <f>D16*E16</f>
        <v>3300</v>
      </c>
      <c r="G16" s="56">
        <f t="shared" ref="G16:G17" si="0">F16*0.17</f>
        <v>561</v>
      </c>
      <c r="H16" s="74">
        <f t="shared" ref="H16" si="1">E16*1.17</f>
        <v>257.39999999999998</v>
      </c>
      <c r="I16" s="56">
        <f>H16*D16</f>
        <v>3860.9999999999995</v>
      </c>
      <c r="J16" s="83"/>
      <c r="M16" s="21">
        <f t="shared" ref="M16:M17" si="2">440*1.02</f>
        <v>448.8</v>
      </c>
      <c r="N16" s="66" t="e">
        <f>M16-#REF!</f>
        <v>#REF!</v>
      </c>
      <c r="O16" s="21" t="e">
        <f t="shared" ref="O16:O17" si="3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ref="F17" si="4">D17*E17</f>
        <v>0</v>
      </c>
      <c r="G17" s="56">
        <f t="shared" si="0"/>
        <v>0</v>
      </c>
      <c r="H17" s="57">
        <f t="shared" ref="H17" si="5">E17*1.17</f>
        <v>0</v>
      </c>
      <c r="I17" s="56">
        <f t="shared" ref="I17" si="6">H17*D17</f>
        <v>0</v>
      </c>
      <c r="J17" s="58"/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15</v>
      </c>
      <c r="E18" s="35"/>
      <c r="F18" s="62">
        <f>SUM(F16:F17)</f>
        <v>3300</v>
      </c>
      <c r="G18" s="62">
        <f>SUM(G16:G17)</f>
        <v>561</v>
      </c>
      <c r="H18" s="35"/>
      <c r="I18" s="62">
        <f>SUM(I16:I17)</f>
        <v>3860.9999999999995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978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27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DDF70F0D-60FC-4719-8604-81A646A3B9D0}"/>
  </hyperlinks>
  <pageMargins left="0.2" right="0.1" top="0.25" bottom="0.25" header="0.3" footer="0.3"/>
  <pageSetup paperSize="9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AB3BE-F78C-4644-8FEB-9452060F9CB7}">
  <sheetPr filterMode="1"/>
  <dimension ref="A1:R47"/>
  <sheetViews>
    <sheetView topLeftCell="A6" workbookViewId="0">
      <selection activeCell="F16" sqref="F16:F3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2264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1519</v>
      </c>
      <c r="C16" s="53" t="s">
        <v>1506</v>
      </c>
      <c r="D16" s="79">
        <v>1</v>
      </c>
      <c r="E16" s="56">
        <v>32</v>
      </c>
      <c r="F16" s="56">
        <f t="shared" ref="F16" si="0">D16*E16</f>
        <v>32</v>
      </c>
      <c r="G16" s="149">
        <f>F16*0</f>
        <v>0</v>
      </c>
      <c r="H16" s="85">
        <f>E16*1</f>
        <v>32</v>
      </c>
      <c r="I16" s="56">
        <f t="shared" ref="I16:I37" si="1">H16*D16</f>
        <v>32</v>
      </c>
      <c r="J16" s="83"/>
      <c r="N16" s="66"/>
    </row>
    <row r="17" spans="1:14" s="21" customFormat="1" ht="25.5" hidden="1" x14ac:dyDescent="0.25">
      <c r="A17" s="53">
        <v>2</v>
      </c>
      <c r="B17" s="78" t="s">
        <v>1517</v>
      </c>
      <c r="C17" s="53" t="s">
        <v>1506</v>
      </c>
      <c r="D17" s="79">
        <v>2</v>
      </c>
      <c r="E17" s="56">
        <v>250</v>
      </c>
      <c r="F17" s="56">
        <f t="shared" ref="F17:F37" si="2">D17*E17</f>
        <v>500</v>
      </c>
      <c r="G17" s="149">
        <f t="shared" ref="G17:G37" si="3">F17*0.17</f>
        <v>85</v>
      </c>
      <c r="H17" s="85">
        <f t="shared" ref="H17:H37" si="4">E17*1.17</f>
        <v>292.5</v>
      </c>
      <c r="I17" s="56">
        <f t="shared" si="1"/>
        <v>585</v>
      </c>
      <c r="J17" s="83"/>
      <c r="N17" s="66"/>
    </row>
    <row r="18" spans="1:14" s="21" customFormat="1" ht="15.75" hidden="1" x14ac:dyDescent="0.25">
      <c r="A18" s="53">
        <v>3</v>
      </c>
      <c r="B18" s="78" t="s">
        <v>1487</v>
      </c>
      <c r="C18" s="53" t="s">
        <v>1506</v>
      </c>
      <c r="D18" s="79">
        <v>1</v>
      </c>
      <c r="E18" s="56">
        <v>155</v>
      </c>
      <c r="F18" s="56">
        <f t="shared" si="2"/>
        <v>155</v>
      </c>
      <c r="G18" s="149">
        <f t="shared" si="3"/>
        <v>26.35</v>
      </c>
      <c r="H18" s="85">
        <f t="shared" si="4"/>
        <v>181.35</v>
      </c>
      <c r="I18" s="56">
        <f t="shared" si="1"/>
        <v>181.35</v>
      </c>
      <c r="J18" s="83"/>
      <c r="N18" s="66"/>
    </row>
    <row r="19" spans="1:14" s="21" customFormat="1" ht="25.5" x14ac:dyDescent="0.25">
      <c r="A19" s="53">
        <v>4</v>
      </c>
      <c r="B19" s="78" t="s">
        <v>1520</v>
      </c>
      <c r="C19" s="53" t="s">
        <v>1505</v>
      </c>
      <c r="D19" s="79">
        <v>1</v>
      </c>
      <c r="E19" s="56">
        <v>25</v>
      </c>
      <c r="F19" s="56">
        <f t="shared" si="2"/>
        <v>25</v>
      </c>
      <c r="G19" s="149">
        <f t="shared" ref="G19:G20" si="5">F19*0</f>
        <v>0</v>
      </c>
      <c r="H19" s="85">
        <f t="shared" ref="H19:H20" si="6">E19*1</f>
        <v>25</v>
      </c>
      <c r="I19" s="56">
        <f t="shared" si="1"/>
        <v>25</v>
      </c>
      <c r="J19" s="83"/>
      <c r="N19" s="66"/>
    </row>
    <row r="20" spans="1:14" s="21" customFormat="1" ht="25.5" x14ac:dyDescent="0.25">
      <c r="A20" s="53">
        <v>5</v>
      </c>
      <c r="B20" s="78" t="s">
        <v>1513</v>
      </c>
      <c r="C20" s="53" t="s">
        <v>1505</v>
      </c>
      <c r="D20" s="79">
        <v>1</v>
      </c>
      <c r="E20" s="56">
        <v>75</v>
      </c>
      <c r="F20" s="56">
        <f t="shared" si="2"/>
        <v>75</v>
      </c>
      <c r="G20" s="149">
        <f t="shared" si="5"/>
        <v>0</v>
      </c>
      <c r="H20" s="85">
        <f t="shared" si="6"/>
        <v>75</v>
      </c>
      <c r="I20" s="56">
        <f t="shared" si="1"/>
        <v>75</v>
      </c>
      <c r="J20" s="83"/>
      <c r="N20" s="66"/>
    </row>
    <row r="21" spans="1:14" s="21" customFormat="1" ht="15.75" hidden="1" x14ac:dyDescent="0.25">
      <c r="A21" s="53">
        <v>6</v>
      </c>
      <c r="B21" s="78" t="s">
        <v>1489</v>
      </c>
      <c r="C21" s="53" t="s">
        <v>1506</v>
      </c>
      <c r="D21" s="79">
        <v>1</v>
      </c>
      <c r="E21" s="56">
        <v>12</v>
      </c>
      <c r="F21" s="56">
        <f t="shared" si="2"/>
        <v>12</v>
      </c>
      <c r="G21" s="149">
        <f t="shared" si="3"/>
        <v>2.04</v>
      </c>
      <c r="H21" s="85">
        <f t="shared" si="4"/>
        <v>14.04</v>
      </c>
      <c r="I21" s="56">
        <f t="shared" si="1"/>
        <v>14.04</v>
      </c>
      <c r="J21" s="83"/>
      <c r="N21" s="66"/>
    </row>
    <row r="22" spans="1:14" s="21" customFormat="1" ht="15.75" hidden="1" x14ac:dyDescent="0.25">
      <c r="A22" s="53">
        <v>7</v>
      </c>
      <c r="B22" s="78" t="s">
        <v>1527</v>
      </c>
      <c r="C22" s="53" t="s">
        <v>23</v>
      </c>
      <c r="D22" s="79">
        <v>1</v>
      </c>
      <c r="E22" s="56">
        <v>28</v>
      </c>
      <c r="F22" s="56">
        <f t="shared" si="2"/>
        <v>28</v>
      </c>
      <c r="G22" s="149">
        <f t="shared" si="3"/>
        <v>4.7600000000000007</v>
      </c>
      <c r="H22" s="85">
        <f t="shared" si="4"/>
        <v>32.76</v>
      </c>
      <c r="I22" s="56">
        <f t="shared" si="1"/>
        <v>32.76</v>
      </c>
      <c r="J22" s="83"/>
      <c r="N22" s="66"/>
    </row>
    <row r="23" spans="1:14" s="21" customFormat="1" ht="25.5" hidden="1" x14ac:dyDescent="0.25">
      <c r="A23" s="53">
        <v>8</v>
      </c>
      <c r="B23" s="78" t="s">
        <v>1490</v>
      </c>
      <c r="C23" s="53" t="s">
        <v>1505</v>
      </c>
      <c r="D23" s="79">
        <v>1</v>
      </c>
      <c r="E23" s="56">
        <v>40</v>
      </c>
      <c r="F23" s="56">
        <f t="shared" si="2"/>
        <v>40</v>
      </c>
      <c r="G23" s="149">
        <f t="shared" si="3"/>
        <v>6.8000000000000007</v>
      </c>
      <c r="H23" s="85">
        <f t="shared" si="4"/>
        <v>46.8</v>
      </c>
      <c r="I23" s="56">
        <f t="shared" si="1"/>
        <v>46.8</v>
      </c>
      <c r="J23" s="83"/>
      <c r="N23" s="66"/>
    </row>
    <row r="24" spans="1:14" s="21" customFormat="1" ht="15.75" hidden="1" x14ac:dyDescent="0.25">
      <c r="A24" s="53">
        <v>9</v>
      </c>
      <c r="B24" s="78" t="s">
        <v>1528</v>
      </c>
      <c r="C24" s="53" t="s">
        <v>23</v>
      </c>
      <c r="D24" s="79">
        <v>1</v>
      </c>
      <c r="E24" s="56">
        <v>100</v>
      </c>
      <c r="F24" s="56">
        <f t="shared" si="2"/>
        <v>100</v>
      </c>
      <c r="G24" s="149">
        <f t="shared" si="3"/>
        <v>17</v>
      </c>
      <c r="H24" s="85">
        <f t="shared" si="4"/>
        <v>117</v>
      </c>
      <c r="I24" s="56">
        <f t="shared" si="1"/>
        <v>117</v>
      </c>
      <c r="J24" s="83"/>
      <c r="N24" s="66"/>
    </row>
    <row r="25" spans="1:14" s="21" customFormat="1" ht="15.75" x14ac:dyDescent="0.25">
      <c r="A25" s="53">
        <v>10</v>
      </c>
      <c r="B25" s="78" t="s">
        <v>1529</v>
      </c>
      <c r="C25" s="53" t="s">
        <v>23</v>
      </c>
      <c r="D25" s="79">
        <v>1</v>
      </c>
      <c r="E25" s="56">
        <v>28</v>
      </c>
      <c r="F25" s="56">
        <f t="shared" si="2"/>
        <v>28</v>
      </c>
      <c r="G25" s="149">
        <f>F25*0</f>
        <v>0</v>
      </c>
      <c r="H25" s="85">
        <f>E25*1</f>
        <v>28</v>
      </c>
      <c r="I25" s="56">
        <f t="shared" si="1"/>
        <v>28</v>
      </c>
      <c r="J25" s="83"/>
      <c r="N25" s="66"/>
    </row>
    <row r="26" spans="1:14" s="21" customFormat="1" ht="25.5" hidden="1" x14ac:dyDescent="0.25">
      <c r="A26" s="53">
        <v>11</v>
      </c>
      <c r="B26" s="78" t="s">
        <v>1491</v>
      </c>
      <c r="C26" s="53" t="s">
        <v>1506</v>
      </c>
      <c r="D26" s="79">
        <v>1</v>
      </c>
      <c r="E26" s="56">
        <v>105</v>
      </c>
      <c r="F26" s="56">
        <f t="shared" si="2"/>
        <v>105</v>
      </c>
      <c r="G26" s="149">
        <f t="shared" si="3"/>
        <v>17.850000000000001</v>
      </c>
      <c r="H26" s="85">
        <f t="shared" si="4"/>
        <v>122.85</v>
      </c>
      <c r="I26" s="56">
        <f t="shared" si="1"/>
        <v>122.85</v>
      </c>
      <c r="J26" s="83"/>
      <c r="N26" s="66"/>
    </row>
    <row r="27" spans="1:14" s="21" customFormat="1" ht="15.75" hidden="1" x14ac:dyDescent="0.25">
      <c r="A27" s="53">
        <v>12</v>
      </c>
      <c r="B27" s="78" t="s">
        <v>1493</v>
      </c>
      <c r="C27" s="53" t="s">
        <v>1506</v>
      </c>
      <c r="D27" s="79">
        <v>1</v>
      </c>
      <c r="E27" s="56">
        <v>180</v>
      </c>
      <c r="F27" s="56">
        <f t="shared" si="2"/>
        <v>180</v>
      </c>
      <c r="G27" s="149">
        <f t="shared" si="3"/>
        <v>30.6</v>
      </c>
      <c r="H27" s="85">
        <f t="shared" si="4"/>
        <v>210.6</v>
      </c>
      <c r="I27" s="56">
        <f t="shared" si="1"/>
        <v>210.6</v>
      </c>
      <c r="J27" s="83"/>
      <c r="N27" s="66"/>
    </row>
    <row r="28" spans="1:14" s="21" customFormat="1" ht="15.75" x14ac:dyDescent="0.25">
      <c r="A28" s="53">
        <v>13</v>
      </c>
      <c r="B28" s="78" t="s">
        <v>1501</v>
      </c>
      <c r="C28" s="53" t="s">
        <v>1506</v>
      </c>
      <c r="D28" s="79">
        <v>2</v>
      </c>
      <c r="E28" s="56">
        <v>28</v>
      </c>
      <c r="F28" s="56">
        <f t="shared" si="2"/>
        <v>56</v>
      </c>
      <c r="G28" s="149">
        <f>F28*0</f>
        <v>0</v>
      </c>
      <c r="H28" s="85">
        <f>E28*1</f>
        <v>28</v>
      </c>
      <c r="I28" s="56">
        <f t="shared" si="1"/>
        <v>56</v>
      </c>
      <c r="J28" s="83"/>
      <c r="N28" s="66"/>
    </row>
    <row r="29" spans="1:14" s="21" customFormat="1" ht="15.75" hidden="1" x14ac:dyDescent="0.25">
      <c r="A29" s="53">
        <v>14</v>
      </c>
      <c r="B29" s="78" t="s">
        <v>1495</v>
      </c>
      <c r="C29" s="53" t="s">
        <v>1506</v>
      </c>
      <c r="D29" s="79">
        <v>1</v>
      </c>
      <c r="E29" s="56">
        <v>110</v>
      </c>
      <c r="F29" s="56">
        <f t="shared" si="2"/>
        <v>110</v>
      </c>
      <c r="G29" s="149">
        <f t="shared" si="3"/>
        <v>18.700000000000003</v>
      </c>
      <c r="H29" s="85">
        <f t="shared" si="4"/>
        <v>128.69999999999999</v>
      </c>
      <c r="I29" s="56">
        <f t="shared" si="1"/>
        <v>128.69999999999999</v>
      </c>
      <c r="J29" s="83"/>
      <c r="N29" s="66"/>
    </row>
    <row r="30" spans="1:14" s="21" customFormat="1" ht="25.5" hidden="1" x14ac:dyDescent="0.25">
      <c r="A30" s="53">
        <v>15</v>
      </c>
      <c r="B30" s="78" t="s">
        <v>1496</v>
      </c>
      <c r="C30" s="53" t="s">
        <v>1506</v>
      </c>
      <c r="D30" s="79">
        <v>1</v>
      </c>
      <c r="E30" s="56">
        <v>30</v>
      </c>
      <c r="F30" s="56">
        <f t="shared" si="2"/>
        <v>30</v>
      </c>
      <c r="G30" s="149">
        <f t="shared" si="3"/>
        <v>5.1000000000000005</v>
      </c>
      <c r="H30" s="85">
        <f t="shared" si="4"/>
        <v>35.099999999999994</v>
      </c>
      <c r="I30" s="56">
        <f t="shared" si="1"/>
        <v>35.099999999999994</v>
      </c>
      <c r="J30" s="83"/>
      <c r="N30" s="66"/>
    </row>
    <row r="31" spans="1:14" s="21" customFormat="1" ht="15.75" x14ac:dyDescent="0.25">
      <c r="A31" s="53">
        <v>16</v>
      </c>
      <c r="B31" s="78" t="s">
        <v>1502</v>
      </c>
      <c r="C31" s="53" t="s">
        <v>1506</v>
      </c>
      <c r="D31" s="79">
        <v>1</v>
      </c>
      <c r="E31" s="56">
        <v>7</v>
      </c>
      <c r="F31" s="56">
        <f t="shared" si="2"/>
        <v>7</v>
      </c>
      <c r="G31" s="149">
        <f>F31*0</f>
        <v>0</v>
      </c>
      <c r="H31" s="85">
        <f>E31*1</f>
        <v>7</v>
      </c>
      <c r="I31" s="56">
        <f t="shared" si="1"/>
        <v>7</v>
      </c>
      <c r="J31" s="83"/>
      <c r="N31" s="66"/>
    </row>
    <row r="32" spans="1:14" s="21" customFormat="1" ht="15.75" hidden="1" x14ac:dyDescent="0.25">
      <c r="A32" s="53">
        <v>17</v>
      </c>
      <c r="B32" s="78" t="s">
        <v>1497</v>
      </c>
      <c r="C32" s="53" t="s">
        <v>1506</v>
      </c>
      <c r="D32" s="79">
        <v>1</v>
      </c>
      <c r="E32" s="56">
        <v>28</v>
      </c>
      <c r="F32" s="56">
        <f t="shared" si="2"/>
        <v>28</v>
      </c>
      <c r="G32" s="149">
        <f t="shared" si="3"/>
        <v>4.7600000000000007</v>
      </c>
      <c r="H32" s="85">
        <f t="shared" si="4"/>
        <v>32.76</v>
      </c>
      <c r="I32" s="56">
        <f t="shared" si="1"/>
        <v>32.76</v>
      </c>
      <c r="J32" s="83"/>
      <c r="N32" s="66"/>
    </row>
    <row r="33" spans="1:18" s="21" customFormat="1" ht="15.75" hidden="1" x14ac:dyDescent="0.25">
      <c r="A33" s="53">
        <v>18</v>
      </c>
      <c r="B33" s="78" t="s">
        <v>1498</v>
      </c>
      <c r="C33" s="53" t="s">
        <v>1506</v>
      </c>
      <c r="D33" s="79">
        <v>1</v>
      </c>
      <c r="E33" s="56">
        <v>175</v>
      </c>
      <c r="F33" s="56">
        <f t="shared" si="2"/>
        <v>175</v>
      </c>
      <c r="G33" s="149">
        <f t="shared" si="3"/>
        <v>29.750000000000004</v>
      </c>
      <c r="H33" s="85">
        <f t="shared" si="4"/>
        <v>204.75</v>
      </c>
      <c r="I33" s="56">
        <f t="shared" si="1"/>
        <v>204.75</v>
      </c>
      <c r="J33" s="83"/>
      <c r="N33" s="66"/>
    </row>
    <row r="34" spans="1:18" s="21" customFormat="1" ht="15.75" hidden="1" x14ac:dyDescent="0.25">
      <c r="A34" s="53">
        <v>19</v>
      </c>
      <c r="B34" s="78" t="s">
        <v>1544</v>
      </c>
      <c r="C34" s="53" t="s">
        <v>1506</v>
      </c>
      <c r="D34" s="79">
        <v>1</v>
      </c>
      <c r="E34" s="56">
        <v>100</v>
      </c>
      <c r="F34" s="56">
        <f t="shared" si="2"/>
        <v>100</v>
      </c>
      <c r="G34" s="149">
        <f t="shared" si="3"/>
        <v>17</v>
      </c>
      <c r="H34" s="85">
        <f t="shared" si="4"/>
        <v>117</v>
      </c>
      <c r="I34" s="56">
        <f t="shared" si="1"/>
        <v>117</v>
      </c>
      <c r="J34" s="83"/>
      <c r="N34" s="66"/>
    </row>
    <row r="35" spans="1:18" s="21" customFormat="1" ht="25.5" hidden="1" x14ac:dyDescent="0.25">
      <c r="A35" s="53">
        <v>20</v>
      </c>
      <c r="B35" s="78" t="s">
        <v>1539</v>
      </c>
      <c r="C35" s="53" t="s">
        <v>1506</v>
      </c>
      <c r="D35" s="79">
        <v>1</v>
      </c>
      <c r="E35" s="56">
        <v>125</v>
      </c>
      <c r="F35" s="56">
        <f t="shared" si="2"/>
        <v>125</v>
      </c>
      <c r="G35" s="149">
        <f t="shared" si="3"/>
        <v>21.25</v>
      </c>
      <c r="H35" s="85">
        <f t="shared" si="4"/>
        <v>146.25</v>
      </c>
      <c r="I35" s="56">
        <f t="shared" si="1"/>
        <v>146.25</v>
      </c>
      <c r="J35" s="83"/>
      <c r="N35" s="66"/>
    </row>
    <row r="36" spans="1:18" s="21" customFormat="1" ht="15.75" x14ac:dyDescent="0.25">
      <c r="A36" s="53">
        <v>21</v>
      </c>
      <c r="B36" s="78" t="s">
        <v>2242</v>
      </c>
      <c r="C36" s="53" t="s">
        <v>23</v>
      </c>
      <c r="D36" s="79">
        <v>2</v>
      </c>
      <c r="E36" s="56">
        <v>115</v>
      </c>
      <c r="F36" s="56">
        <f t="shared" si="2"/>
        <v>230</v>
      </c>
      <c r="G36" s="149">
        <f>F36*0</f>
        <v>0</v>
      </c>
      <c r="H36" s="85">
        <f>E36*1</f>
        <v>115</v>
      </c>
      <c r="I36" s="56">
        <f t="shared" si="1"/>
        <v>230</v>
      </c>
      <c r="J36" s="83"/>
      <c r="N36" s="66"/>
    </row>
    <row r="37" spans="1:18" s="21" customFormat="1" ht="25.5" hidden="1" x14ac:dyDescent="0.25">
      <c r="A37" s="53">
        <v>22</v>
      </c>
      <c r="B37" s="78" t="s">
        <v>2247</v>
      </c>
      <c r="C37" s="53" t="s">
        <v>23</v>
      </c>
      <c r="D37" s="79">
        <v>1</v>
      </c>
      <c r="E37" s="56">
        <v>380</v>
      </c>
      <c r="F37" s="56">
        <f t="shared" si="2"/>
        <v>380</v>
      </c>
      <c r="G37" s="149">
        <f t="shared" si="3"/>
        <v>64.600000000000009</v>
      </c>
      <c r="H37" s="85">
        <f t="shared" si="4"/>
        <v>444.59999999999997</v>
      </c>
      <c r="I37" s="56">
        <f t="shared" si="1"/>
        <v>444.59999999999997</v>
      </c>
      <c r="J37" s="83"/>
      <c r="N37" s="66"/>
    </row>
    <row r="38" spans="1:18" s="21" customFormat="1" ht="15.75" hidden="1" x14ac:dyDescent="0.25">
      <c r="A38" s="53"/>
      <c r="B38" s="78"/>
      <c r="C38" s="53"/>
      <c r="D38" s="79"/>
      <c r="E38" s="56"/>
      <c r="F38" s="56"/>
      <c r="G38" s="149"/>
      <c r="H38" s="85"/>
      <c r="I38" s="56"/>
      <c r="J38" s="83"/>
      <c r="N38" s="66"/>
    </row>
    <row r="39" spans="1:18" ht="15.75" hidden="1" thickBot="1" x14ac:dyDescent="0.3">
      <c r="A39" s="33"/>
      <c r="B39" s="34" t="s">
        <v>24</v>
      </c>
      <c r="C39" s="35"/>
      <c r="D39" s="62">
        <f>SUM(D16:D38)</f>
        <v>25</v>
      </c>
      <c r="E39" s="35"/>
      <c r="F39" s="62">
        <f>SUM(F16:F38)</f>
        <v>2521</v>
      </c>
      <c r="G39" s="62">
        <f>SUM(G16:G38)</f>
        <v>351.55999999999995</v>
      </c>
      <c r="H39" s="35"/>
      <c r="I39" s="62">
        <f>SUM(I16:I38)</f>
        <v>2872.5599999999995</v>
      </c>
      <c r="J39" s="37"/>
    </row>
    <row r="40" spans="1:18" hidden="1" x14ac:dyDescent="0.25">
      <c r="A40" s="33"/>
      <c r="B40" s="34" t="s">
        <v>2265</v>
      </c>
      <c r="C40" s="35"/>
      <c r="D40" s="35"/>
      <c r="E40" s="35"/>
      <c r="F40" s="35"/>
      <c r="G40" s="35"/>
      <c r="H40" s="35"/>
      <c r="I40" s="35"/>
      <c r="J40" s="37"/>
    </row>
    <row r="41" spans="1:18" hidden="1" x14ac:dyDescent="0.25">
      <c r="A41" s="33"/>
      <c r="B41" s="38" t="s">
        <v>25</v>
      </c>
      <c r="C41" s="35"/>
      <c r="D41" s="35"/>
      <c r="E41" s="35"/>
      <c r="F41" s="35"/>
      <c r="G41" s="35"/>
      <c r="H41" s="35"/>
      <c r="I41" s="35"/>
      <c r="J41" s="37"/>
      <c r="M41" s="64"/>
      <c r="O41" s="65"/>
      <c r="P41" s="64"/>
      <c r="Q41" s="64"/>
      <c r="R41" s="64"/>
    </row>
    <row r="42" spans="1:18" ht="30" hidden="1" customHeight="1" x14ac:dyDescent="0.25">
      <c r="B42" s="183" t="s">
        <v>26</v>
      </c>
      <c r="C42" s="183"/>
      <c r="D42" s="183"/>
      <c r="E42" s="183"/>
      <c r="F42" s="183"/>
      <c r="G42" s="183"/>
      <c r="H42" s="183"/>
      <c r="I42" s="183"/>
      <c r="J42" s="183"/>
      <c r="P42" s="64"/>
      <c r="R42" s="65"/>
    </row>
    <row r="43" spans="1:18" hidden="1" x14ac:dyDescent="0.25">
      <c r="B43" t="s">
        <v>634</v>
      </c>
    </row>
    <row r="46" spans="1:18" x14ac:dyDescent="0.25">
      <c r="B46" t="s">
        <v>28</v>
      </c>
      <c r="H46" t="s">
        <v>28</v>
      </c>
    </row>
    <row r="47" spans="1:18" x14ac:dyDescent="0.25">
      <c r="B47" t="s">
        <v>29</v>
      </c>
      <c r="H47" t="s">
        <v>30</v>
      </c>
    </row>
  </sheetData>
  <autoFilter ref="A15:J43" xr:uid="{00000000-0009-0000-0000-000000000000}">
    <filterColumn colId="6">
      <filters>
        <filter val="-"/>
      </filters>
    </filterColumn>
  </autoFilter>
  <mergeCells count="5">
    <mergeCell ref="A6:J6"/>
    <mergeCell ref="I7:J7"/>
    <mergeCell ref="I8:J8"/>
    <mergeCell ref="I9:J9"/>
    <mergeCell ref="B42:J42"/>
  </mergeCells>
  <hyperlinks>
    <hyperlink ref="H5" r:id="rId1" xr:uid="{36D58C93-8998-4E10-8F70-CE4494B853B1}"/>
  </hyperlinks>
  <pageMargins left="0.2" right="0.1" top="0.25" bottom="0.25" header="0.3" footer="0.3"/>
  <pageSetup paperSize="9" orientation="portrait" r:id="rId2"/>
  <drawing r:id="rId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D8C8F-8170-4AA9-BDCE-F2E3F56E7321}">
  <dimension ref="A1:R39"/>
  <sheetViews>
    <sheetView workbookViewId="0">
      <selection activeCell="C18" sqref="C1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942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974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601</v>
      </c>
      <c r="D10" s="10"/>
      <c r="E10" s="10"/>
      <c r="F10" s="10"/>
    </row>
    <row r="11" spans="1:15" x14ac:dyDescent="0.25">
      <c r="B11" t="s">
        <v>11</v>
      </c>
      <c r="C11" s="10" t="s">
        <v>875</v>
      </c>
      <c r="D11" s="11"/>
      <c r="E11" s="11"/>
      <c r="F11" s="11"/>
    </row>
    <row r="12" spans="1:15" x14ac:dyDescent="0.25">
      <c r="A12" s="12"/>
      <c r="B12" s="13"/>
      <c r="C12" s="14" t="s">
        <v>876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950</v>
      </c>
      <c r="C16" s="53" t="s">
        <v>76</v>
      </c>
      <c r="D16" s="79">
        <v>40</v>
      </c>
      <c r="E16" s="56">
        <v>30</v>
      </c>
      <c r="F16" s="56">
        <f>D16*E16</f>
        <v>1200</v>
      </c>
      <c r="G16" s="56">
        <f t="shared" ref="G16:G30" si="0">F16*0.17</f>
        <v>204.00000000000003</v>
      </c>
      <c r="H16" s="74">
        <f t="shared" ref="H16:H29" si="1">E16*1.17</f>
        <v>35.099999999999994</v>
      </c>
      <c r="I16" s="56">
        <f>H16*D16</f>
        <v>1403.9999999999998</v>
      </c>
      <c r="J16" s="83"/>
      <c r="M16" s="21">
        <f t="shared" ref="M16:M30" si="2">440*1.02</f>
        <v>448.8</v>
      </c>
      <c r="N16" s="66">
        <f>M16-M20</f>
        <v>0</v>
      </c>
      <c r="O16" s="21">
        <f t="shared" ref="O16:O30" si="3">N16*D16</f>
        <v>0</v>
      </c>
    </row>
    <row r="17" spans="1:15" s="21" customFormat="1" ht="15.75" x14ac:dyDescent="0.25">
      <c r="A17" s="53">
        <v>2</v>
      </c>
      <c r="B17" s="78" t="s">
        <v>960</v>
      </c>
      <c r="C17" s="53" t="s">
        <v>23</v>
      </c>
      <c r="D17" s="79">
        <v>15</v>
      </c>
      <c r="E17" s="56">
        <v>40</v>
      </c>
      <c r="F17" s="56">
        <f t="shared" ref="F17:F30" si="4">D17*E17</f>
        <v>600</v>
      </c>
      <c r="G17" s="56">
        <f t="shared" si="0"/>
        <v>102.00000000000001</v>
      </c>
      <c r="H17" s="74">
        <f t="shared" si="1"/>
        <v>46.8</v>
      </c>
      <c r="I17" s="56">
        <f t="shared" ref="I17:I30" si="5">H17*D17</f>
        <v>702</v>
      </c>
      <c r="J17" s="83"/>
      <c r="M17" s="21">
        <f t="shared" si="2"/>
        <v>448.8</v>
      </c>
      <c r="N17" s="66">
        <f t="shared" ref="N17:N22" si="6">M17-M18</f>
        <v>0</v>
      </c>
      <c r="O17" s="21">
        <f t="shared" si="3"/>
        <v>0</v>
      </c>
    </row>
    <row r="18" spans="1:15" s="21" customFormat="1" ht="15.75" x14ac:dyDescent="0.25">
      <c r="A18" s="53">
        <v>3</v>
      </c>
      <c r="B18" s="78" t="s">
        <v>961</v>
      </c>
      <c r="C18" s="53" t="s">
        <v>165</v>
      </c>
      <c r="D18" s="79">
        <v>3</v>
      </c>
      <c r="E18" s="56">
        <v>350</v>
      </c>
      <c r="F18" s="56">
        <f t="shared" si="4"/>
        <v>1050</v>
      </c>
      <c r="G18" s="56">
        <f t="shared" si="0"/>
        <v>178.5</v>
      </c>
      <c r="H18" s="74">
        <f t="shared" si="1"/>
        <v>409.5</v>
      </c>
      <c r="I18" s="56">
        <f t="shared" si="5"/>
        <v>1228.5</v>
      </c>
      <c r="J18" s="83"/>
      <c r="M18" s="21">
        <f t="shared" si="2"/>
        <v>448.8</v>
      </c>
      <c r="N18" s="66">
        <f t="shared" si="6"/>
        <v>0</v>
      </c>
      <c r="O18" s="21">
        <f t="shared" si="3"/>
        <v>0</v>
      </c>
    </row>
    <row r="19" spans="1:15" s="21" customFormat="1" ht="15.75" x14ac:dyDescent="0.25">
      <c r="A19" s="53">
        <v>4</v>
      </c>
      <c r="B19" s="78" t="s">
        <v>962</v>
      </c>
      <c r="C19" s="53" t="s">
        <v>23</v>
      </c>
      <c r="D19" s="79">
        <v>3</v>
      </c>
      <c r="E19" s="56">
        <v>30</v>
      </c>
      <c r="F19" s="56">
        <f t="shared" si="4"/>
        <v>90</v>
      </c>
      <c r="G19" s="56">
        <f>F19*0</f>
        <v>0</v>
      </c>
      <c r="H19" s="74">
        <f>E19*1</f>
        <v>30</v>
      </c>
      <c r="I19" s="56">
        <f t="shared" si="5"/>
        <v>90</v>
      </c>
      <c r="J19" s="83"/>
      <c r="M19" s="21">
        <f t="shared" si="2"/>
        <v>448.8</v>
      </c>
      <c r="N19" s="66">
        <f t="shared" si="6"/>
        <v>0</v>
      </c>
      <c r="O19" s="21">
        <f t="shared" si="3"/>
        <v>0</v>
      </c>
    </row>
    <row r="20" spans="1:15" s="21" customFormat="1" ht="15.75" x14ac:dyDescent="0.25">
      <c r="A20" s="53">
        <v>5</v>
      </c>
      <c r="B20" s="78" t="s">
        <v>963</v>
      </c>
      <c r="C20" s="53" t="s">
        <v>76</v>
      </c>
      <c r="D20" s="79">
        <v>2</v>
      </c>
      <c r="E20" s="56">
        <v>65</v>
      </c>
      <c r="F20" s="56">
        <f t="shared" si="4"/>
        <v>130</v>
      </c>
      <c r="G20" s="56">
        <f>F20*0</f>
        <v>0</v>
      </c>
      <c r="H20" s="74">
        <f>E20*1</f>
        <v>65</v>
      </c>
      <c r="I20" s="56">
        <f t="shared" si="5"/>
        <v>130</v>
      </c>
      <c r="J20" s="83"/>
      <c r="M20" s="21">
        <f t="shared" si="2"/>
        <v>448.8</v>
      </c>
      <c r="N20" s="66">
        <f t="shared" si="6"/>
        <v>0</v>
      </c>
      <c r="O20" s="21">
        <f t="shared" si="3"/>
        <v>0</v>
      </c>
    </row>
    <row r="21" spans="1:15" s="21" customFormat="1" ht="15.75" x14ac:dyDescent="0.25">
      <c r="A21" s="53">
        <v>6</v>
      </c>
      <c r="B21" s="78" t="s">
        <v>964</v>
      </c>
      <c r="C21" s="53" t="s">
        <v>76</v>
      </c>
      <c r="D21" s="79">
        <v>2</v>
      </c>
      <c r="E21" s="56">
        <v>65</v>
      </c>
      <c r="F21" s="56">
        <f t="shared" si="4"/>
        <v>130</v>
      </c>
      <c r="G21" s="56">
        <f>F21*0</f>
        <v>0</v>
      </c>
      <c r="H21" s="74">
        <f>E21*1</f>
        <v>65</v>
      </c>
      <c r="I21" s="56">
        <f t="shared" si="5"/>
        <v>130</v>
      </c>
      <c r="J21" s="83"/>
      <c r="M21" s="21">
        <f t="shared" si="2"/>
        <v>448.8</v>
      </c>
      <c r="N21" s="66">
        <f t="shared" si="6"/>
        <v>0</v>
      </c>
      <c r="O21" s="21">
        <f t="shared" si="3"/>
        <v>0</v>
      </c>
    </row>
    <row r="22" spans="1:15" s="21" customFormat="1" ht="15.75" x14ac:dyDescent="0.25">
      <c r="A22" s="53">
        <v>7</v>
      </c>
      <c r="B22" s="78" t="s">
        <v>965</v>
      </c>
      <c r="C22" s="53" t="s">
        <v>932</v>
      </c>
      <c r="D22" s="79">
        <v>2</v>
      </c>
      <c r="E22" s="56">
        <v>35</v>
      </c>
      <c r="F22" s="56">
        <f t="shared" si="4"/>
        <v>70</v>
      </c>
      <c r="G22" s="56">
        <f t="shared" si="0"/>
        <v>11.9</v>
      </c>
      <c r="H22" s="74">
        <f t="shared" ref="H22:H30" si="7">E22*1.17</f>
        <v>40.949999999999996</v>
      </c>
      <c r="I22" s="56">
        <f t="shared" si="5"/>
        <v>81.899999999999991</v>
      </c>
      <c r="J22" s="83"/>
      <c r="M22" s="21">
        <f t="shared" si="2"/>
        <v>448.8</v>
      </c>
      <c r="N22" s="66">
        <f t="shared" si="6"/>
        <v>0</v>
      </c>
      <c r="O22" s="21">
        <f t="shared" si="3"/>
        <v>0</v>
      </c>
    </row>
    <row r="23" spans="1:15" s="21" customFormat="1" ht="15.75" x14ac:dyDescent="0.25">
      <c r="A23" s="53">
        <v>8</v>
      </c>
      <c r="B23" s="78" t="s">
        <v>966</v>
      </c>
      <c r="C23" s="53" t="s">
        <v>23</v>
      </c>
      <c r="D23" s="79">
        <v>2</v>
      </c>
      <c r="E23" s="56">
        <v>20</v>
      </c>
      <c r="F23" s="56">
        <f t="shared" si="4"/>
        <v>40</v>
      </c>
      <c r="G23" s="56">
        <f t="shared" si="0"/>
        <v>6.8000000000000007</v>
      </c>
      <c r="H23" s="74">
        <f t="shared" si="1"/>
        <v>23.4</v>
      </c>
      <c r="I23" s="56">
        <f t="shared" si="5"/>
        <v>46.8</v>
      </c>
      <c r="J23" s="83"/>
      <c r="M23" s="21">
        <f t="shared" si="2"/>
        <v>448.8</v>
      </c>
      <c r="N23" s="66">
        <f>M23-M27</f>
        <v>0</v>
      </c>
      <c r="O23" s="21">
        <f t="shared" si="3"/>
        <v>0</v>
      </c>
    </row>
    <row r="24" spans="1:15" s="21" customFormat="1" ht="15.75" x14ac:dyDescent="0.25">
      <c r="A24" s="53">
        <v>9</v>
      </c>
      <c r="B24" s="78" t="s">
        <v>967</v>
      </c>
      <c r="C24" s="53" t="s">
        <v>23</v>
      </c>
      <c r="D24" s="79">
        <v>2</v>
      </c>
      <c r="E24" s="56">
        <v>35</v>
      </c>
      <c r="F24" s="56">
        <f t="shared" si="4"/>
        <v>70</v>
      </c>
      <c r="G24" s="56">
        <f t="shared" si="0"/>
        <v>11.9</v>
      </c>
      <c r="H24" s="74">
        <f t="shared" si="1"/>
        <v>40.949999999999996</v>
      </c>
      <c r="I24" s="56">
        <f t="shared" si="5"/>
        <v>81.899999999999991</v>
      </c>
      <c r="J24" s="83"/>
      <c r="M24" s="21">
        <f t="shared" si="2"/>
        <v>448.8</v>
      </c>
      <c r="N24" s="66">
        <f t="shared" ref="N24:N28" si="8">M24-M25</f>
        <v>0</v>
      </c>
      <c r="O24" s="21">
        <f t="shared" si="3"/>
        <v>0</v>
      </c>
    </row>
    <row r="25" spans="1:15" s="21" customFormat="1" ht="15.75" x14ac:dyDescent="0.25">
      <c r="A25" s="53">
        <v>10</v>
      </c>
      <c r="B25" s="78" t="s">
        <v>968</v>
      </c>
      <c r="C25" s="53" t="s">
        <v>23</v>
      </c>
      <c r="D25" s="79">
        <v>2</v>
      </c>
      <c r="E25" s="56">
        <v>250</v>
      </c>
      <c r="F25" s="56">
        <f t="shared" si="4"/>
        <v>500</v>
      </c>
      <c r="G25" s="56">
        <f t="shared" si="0"/>
        <v>85</v>
      </c>
      <c r="H25" s="74">
        <f t="shared" si="1"/>
        <v>292.5</v>
      </c>
      <c r="I25" s="56">
        <f t="shared" si="5"/>
        <v>585</v>
      </c>
      <c r="J25" s="83"/>
      <c r="M25" s="21">
        <f t="shared" si="2"/>
        <v>448.8</v>
      </c>
      <c r="N25" s="66">
        <f t="shared" si="8"/>
        <v>0</v>
      </c>
      <c r="O25" s="21">
        <f t="shared" si="3"/>
        <v>0</v>
      </c>
    </row>
    <row r="26" spans="1:15" s="21" customFormat="1" ht="25.5" x14ac:dyDescent="0.25">
      <c r="A26" s="53">
        <v>11</v>
      </c>
      <c r="B26" s="78" t="s">
        <v>969</v>
      </c>
      <c r="C26" s="53" t="s">
        <v>23</v>
      </c>
      <c r="D26" s="79">
        <v>1</v>
      </c>
      <c r="E26" s="56">
        <v>30</v>
      </c>
      <c r="F26" s="56">
        <f t="shared" si="4"/>
        <v>30</v>
      </c>
      <c r="G26" s="56">
        <f t="shared" ref="G26:G27" si="9">F26*0</f>
        <v>0</v>
      </c>
      <c r="H26" s="74">
        <f t="shared" ref="H26:H27" si="10">E26*1</f>
        <v>30</v>
      </c>
      <c r="I26" s="56">
        <f t="shared" si="5"/>
        <v>30</v>
      </c>
      <c r="J26" s="83"/>
      <c r="M26" s="21">
        <f t="shared" si="2"/>
        <v>448.8</v>
      </c>
      <c r="N26" s="66">
        <f t="shared" si="8"/>
        <v>0</v>
      </c>
      <c r="O26" s="21">
        <f t="shared" si="3"/>
        <v>0</v>
      </c>
    </row>
    <row r="27" spans="1:15" s="21" customFormat="1" ht="25.5" x14ac:dyDescent="0.25">
      <c r="A27" s="53">
        <v>12</v>
      </c>
      <c r="B27" s="78" t="s">
        <v>970</v>
      </c>
      <c r="C27" s="53" t="s">
        <v>23</v>
      </c>
      <c r="D27" s="79">
        <v>1</v>
      </c>
      <c r="E27" s="56">
        <v>30</v>
      </c>
      <c r="F27" s="56">
        <f t="shared" si="4"/>
        <v>30</v>
      </c>
      <c r="G27" s="56">
        <f t="shared" si="9"/>
        <v>0</v>
      </c>
      <c r="H27" s="74">
        <f t="shared" si="10"/>
        <v>30</v>
      </c>
      <c r="I27" s="56">
        <f t="shared" si="5"/>
        <v>30</v>
      </c>
      <c r="J27" s="83"/>
      <c r="M27" s="21">
        <f t="shared" si="2"/>
        <v>448.8</v>
      </c>
      <c r="N27" s="66">
        <f t="shared" si="8"/>
        <v>0</v>
      </c>
      <c r="O27" s="21">
        <f t="shared" si="3"/>
        <v>0</v>
      </c>
    </row>
    <row r="28" spans="1:15" s="21" customFormat="1" ht="15.75" x14ac:dyDescent="0.25">
      <c r="A28" s="53">
        <v>13</v>
      </c>
      <c r="B28" s="78" t="s">
        <v>971</v>
      </c>
      <c r="C28" s="53" t="s">
        <v>76</v>
      </c>
      <c r="D28" s="79">
        <v>1</v>
      </c>
      <c r="E28" s="56">
        <v>220</v>
      </c>
      <c r="F28" s="56">
        <f t="shared" si="4"/>
        <v>220</v>
      </c>
      <c r="G28" s="56">
        <f t="shared" si="0"/>
        <v>37.400000000000006</v>
      </c>
      <c r="H28" s="74">
        <f t="shared" si="1"/>
        <v>257.39999999999998</v>
      </c>
      <c r="I28" s="56">
        <f t="shared" si="5"/>
        <v>257.39999999999998</v>
      </c>
      <c r="J28" s="83"/>
      <c r="M28" s="21">
        <f t="shared" si="2"/>
        <v>448.8</v>
      </c>
      <c r="N28" s="66">
        <f t="shared" si="8"/>
        <v>0</v>
      </c>
      <c r="O28" s="21">
        <f t="shared" si="3"/>
        <v>0</v>
      </c>
    </row>
    <row r="29" spans="1:15" s="21" customFormat="1" ht="15.75" x14ac:dyDescent="0.25">
      <c r="A29" s="53">
        <v>14</v>
      </c>
      <c r="B29" s="78" t="s">
        <v>972</v>
      </c>
      <c r="C29" s="53" t="s">
        <v>23</v>
      </c>
      <c r="D29" s="79">
        <v>1</v>
      </c>
      <c r="E29" s="56">
        <v>35</v>
      </c>
      <c r="F29" s="56">
        <f t="shared" si="4"/>
        <v>35</v>
      </c>
      <c r="G29" s="56">
        <f t="shared" si="0"/>
        <v>5.95</v>
      </c>
      <c r="H29" s="74">
        <f t="shared" si="1"/>
        <v>40.949999999999996</v>
      </c>
      <c r="I29" s="56">
        <f t="shared" si="5"/>
        <v>40.949999999999996</v>
      </c>
      <c r="J29" s="83"/>
      <c r="M29" s="21">
        <f t="shared" si="2"/>
        <v>448.8</v>
      </c>
      <c r="N29" s="66" t="e">
        <f>M29-#REF!</f>
        <v>#REF!</v>
      </c>
      <c r="O29" s="21" t="e">
        <f t="shared" si="3"/>
        <v>#REF!</v>
      </c>
    </row>
    <row r="30" spans="1:15" s="21" customFormat="1" x14ac:dyDescent="0.25">
      <c r="A30" s="53"/>
      <c r="B30" s="47"/>
      <c r="C30" s="82"/>
      <c r="D30" s="57"/>
      <c r="E30" s="56"/>
      <c r="F30" s="56">
        <f t="shared" si="4"/>
        <v>0</v>
      </c>
      <c r="G30" s="56">
        <f t="shared" si="0"/>
        <v>0</v>
      </c>
      <c r="H30" s="57">
        <f t="shared" si="7"/>
        <v>0</v>
      </c>
      <c r="I30" s="56">
        <f t="shared" si="5"/>
        <v>0</v>
      </c>
      <c r="J30" s="58"/>
      <c r="M30" s="21">
        <f t="shared" si="2"/>
        <v>448.8</v>
      </c>
      <c r="N30" s="66" t="e">
        <f>M30-#REF!</f>
        <v>#REF!</v>
      </c>
      <c r="O30" s="21" t="e">
        <f t="shared" si="3"/>
        <v>#REF!</v>
      </c>
    </row>
    <row r="31" spans="1:15" ht="15.75" thickBot="1" x14ac:dyDescent="0.3">
      <c r="A31" s="33"/>
      <c r="B31" s="34" t="s">
        <v>24</v>
      </c>
      <c r="C31" s="35"/>
      <c r="D31" s="62">
        <f>SUM(D16:D30)</f>
        <v>77</v>
      </c>
      <c r="E31" s="35"/>
      <c r="F31" s="62">
        <f>SUM(F16:F30)</f>
        <v>4195</v>
      </c>
      <c r="G31" s="62">
        <f>SUM(G16:G30)</f>
        <v>643.45000000000005</v>
      </c>
      <c r="H31" s="35"/>
      <c r="I31" s="62">
        <f>SUM(I16:I30)</f>
        <v>4838.45</v>
      </c>
      <c r="J31" s="37"/>
      <c r="M31" t="e">
        <f>#REF!/117*100</f>
        <v>#REF!</v>
      </c>
      <c r="O31" t="e">
        <f>M31*1.1</f>
        <v>#REF!</v>
      </c>
    </row>
    <row r="32" spans="1:15" ht="15.75" thickTop="1" x14ac:dyDescent="0.25">
      <c r="A32" s="33"/>
      <c r="B32" s="34" t="s">
        <v>973</v>
      </c>
      <c r="C32" s="35"/>
      <c r="D32" s="35"/>
      <c r="E32" s="35"/>
      <c r="F32" s="35"/>
      <c r="G32" s="35"/>
      <c r="H32" s="35"/>
      <c r="I32" s="35"/>
      <c r="J32" s="37"/>
    </row>
    <row r="33" spans="1:18" x14ac:dyDescent="0.25">
      <c r="A33" s="33"/>
      <c r="B33" s="38" t="s">
        <v>25</v>
      </c>
      <c r="C33" s="35"/>
      <c r="D33" s="35"/>
      <c r="E33" s="35"/>
      <c r="F33" s="35"/>
      <c r="G33" s="35"/>
      <c r="H33" s="35"/>
      <c r="I33" s="35"/>
      <c r="J33" s="37"/>
      <c r="M33" s="64" t="e">
        <f>M31*#REF!</f>
        <v>#REF!</v>
      </c>
      <c r="O33" s="65" t="e">
        <f>#REF!</f>
        <v>#REF!</v>
      </c>
      <c r="P33" s="64" t="e">
        <f>O33-M33</f>
        <v>#REF!</v>
      </c>
      <c r="Q33" s="64" t="e">
        <f>#REF!*0.045</f>
        <v>#REF!</v>
      </c>
      <c r="R33" s="64" t="e">
        <f>P33-Q33</f>
        <v>#REF!</v>
      </c>
    </row>
    <row r="34" spans="1:18" ht="30" customHeight="1" x14ac:dyDescent="0.25">
      <c r="B34" s="183" t="s">
        <v>26</v>
      </c>
      <c r="C34" s="183"/>
      <c r="D34" s="183"/>
      <c r="E34" s="183"/>
      <c r="F34" s="183"/>
      <c r="G34" s="183"/>
      <c r="H34" s="183"/>
      <c r="I34" s="183"/>
      <c r="J34" s="183"/>
      <c r="P34" s="64"/>
      <c r="R34" s="65" t="e">
        <f>#REF!-#REF!</f>
        <v>#REF!</v>
      </c>
    </row>
    <row r="35" spans="1:18" x14ac:dyDescent="0.25">
      <c r="B35" t="s">
        <v>27</v>
      </c>
    </row>
    <row r="38" spans="1:18" x14ac:dyDescent="0.25">
      <c r="B38" t="s">
        <v>28</v>
      </c>
      <c r="H38" t="s">
        <v>28</v>
      </c>
    </row>
    <row r="39" spans="1:18" x14ac:dyDescent="0.25">
      <c r="B39" t="s">
        <v>29</v>
      </c>
      <c r="H39" t="s">
        <v>30</v>
      </c>
    </row>
  </sheetData>
  <autoFilter ref="A15:J35" xr:uid="{00000000-0009-0000-0000-000000000000}"/>
  <mergeCells count="5">
    <mergeCell ref="A6:J6"/>
    <mergeCell ref="I7:J7"/>
    <mergeCell ref="I8:J8"/>
    <mergeCell ref="I9:J9"/>
    <mergeCell ref="B34:J34"/>
  </mergeCells>
  <hyperlinks>
    <hyperlink ref="H5" r:id="rId1" xr:uid="{2C15F769-F922-4E2F-B895-E94EE326EAA3}"/>
  </hyperlinks>
  <pageMargins left="0.2" right="0.1" top="0.25" bottom="0.25" header="0.3" footer="0.3"/>
  <pageSetup paperSize="9" orientation="portrait" r:id="rId2"/>
  <drawing r:id="rId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55B83-E6DC-4AE6-A8D4-4B1F0F048D7B}">
  <dimension ref="A1:R42"/>
  <sheetViews>
    <sheetView workbookViewId="0">
      <selection activeCell="H9" sqref="H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942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943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601</v>
      </c>
      <c r="D10" s="10"/>
      <c r="E10" s="10"/>
      <c r="F10" s="10"/>
    </row>
    <row r="11" spans="1:15" x14ac:dyDescent="0.25">
      <c r="B11" t="s">
        <v>11</v>
      </c>
      <c r="C11" s="10" t="s">
        <v>875</v>
      </c>
      <c r="D11" s="11"/>
      <c r="E11" s="11"/>
      <c r="F11" s="11"/>
    </row>
    <row r="12" spans="1:15" x14ac:dyDescent="0.25">
      <c r="A12" s="12"/>
      <c r="B12" s="13"/>
      <c r="C12" s="14" t="s">
        <v>876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x14ac:dyDescent="0.25">
      <c r="A16" s="53">
        <v>1</v>
      </c>
      <c r="B16" s="78" t="s">
        <v>944</v>
      </c>
      <c r="C16" s="53" t="s">
        <v>76</v>
      </c>
      <c r="D16" s="79">
        <v>5</v>
      </c>
      <c r="E16" s="56">
        <v>65</v>
      </c>
      <c r="F16" s="56">
        <f>D16*E16</f>
        <v>325</v>
      </c>
      <c r="G16" s="56">
        <f>F16*0</f>
        <v>0</v>
      </c>
      <c r="H16" s="74">
        <f>E16*1</f>
        <v>65</v>
      </c>
      <c r="I16" s="56">
        <f>H16*D16</f>
        <v>325</v>
      </c>
      <c r="J16" s="80"/>
      <c r="M16" s="21">
        <f t="shared" ref="M16:M33" si="0">440*1.02</f>
        <v>448.8</v>
      </c>
      <c r="N16" s="66">
        <f>M16-M20</f>
        <v>0</v>
      </c>
      <c r="O16" s="21">
        <f t="shared" ref="O16:O33" si="1">N16*D16</f>
        <v>0</v>
      </c>
    </row>
    <row r="17" spans="1:15" s="21" customFormat="1" x14ac:dyDescent="0.25">
      <c r="A17" s="53">
        <v>2</v>
      </c>
      <c r="B17" s="78" t="s">
        <v>945</v>
      </c>
      <c r="C17" s="53" t="s">
        <v>76</v>
      </c>
      <c r="D17" s="79">
        <v>5</v>
      </c>
      <c r="E17" s="56">
        <v>65</v>
      </c>
      <c r="F17" s="56">
        <f t="shared" ref="F17:F33" si="2">D17*E17</f>
        <v>325</v>
      </c>
      <c r="G17" s="56">
        <f>F17*0</f>
        <v>0</v>
      </c>
      <c r="H17" s="74">
        <f>E17*1</f>
        <v>65</v>
      </c>
      <c r="I17" s="56">
        <f t="shared" ref="I17:I33" si="3">H17*D17</f>
        <v>325</v>
      </c>
      <c r="J17" s="58"/>
      <c r="M17" s="21">
        <f t="shared" si="0"/>
        <v>448.8</v>
      </c>
      <c r="N17" s="66">
        <f t="shared" ref="N17:N22" si="4">M17-M18</f>
        <v>0</v>
      </c>
      <c r="O17" s="21">
        <f t="shared" si="1"/>
        <v>0</v>
      </c>
    </row>
    <row r="18" spans="1:15" s="21" customFormat="1" x14ac:dyDescent="0.25">
      <c r="A18" s="53">
        <v>3</v>
      </c>
      <c r="B18" s="78" t="s">
        <v>946</v>
      </c>
      <c r="C18" s="53" t="s">
        <v>76</v>
      </c>
      <c r="D18" s="79">
        <v>2</v>
      </c>
      <c r="E18" s="56">
        <v>65</v>
      </c>
      <c r="F18" s="56">
        <f t="shared" si="2"/>
        <v>130</v>
      </c>
      <c r="G18" s="56">
        <f>F18*0</f>
        <v>0</v>
      </c>
      <c r="H18" s="74">
        <f>E18*1</f>
        <v>65</v>
      </c>
      <c r="I18" s="56">
        <f t="shared" si="3"/>
        <v>130</v>
      </c>
      <c r="J18" s="58"/>
      <c r="M18" s="21">
        <f t="shared" si="0"/>
        <v>448.8</v>
      </c>
      <c r="N18" s="66">
        <f t="shared" si="4"/>
        <v>0</v>
      </c>
      <c r="O18" s="21">
        <f t="shared" si="1"/>
        <v>0</v>
      </c>
    </row>
    <row r="19" spans="1:15" s="21" customFormat="1" x14ac:dyDescent="0.25">
      <c r="A19" s="53">
        <v>4</v>
      </c>
      <c r="B19" s="78" t="s">
        <v>947</v>
      </c>
      <c r="C19" s="53" t="s">
        <v>23</v>
      </c>
      <c r="D19" s="79">
        <v>12</v>
      </c>
      <c r="E19" s="56">
        <v>30</v>
      </c>
      <c r="F19" s="56">
        <f t="shared" si="2"/>
        <v>360</v>
      </c>
      <c r="G19" s="56">
        <f>F19*0</f>
        <v>0</v>
      </c>
      <c r="H19" s="74">
        <f>E19*1</f>
        <v>30</v>
      </c>
      <c r="I19" s="56">
        <f t="shared" si="3"/>
        <v>360</v>
      </c>
      <c r="J19" s="58"/>
      <c r="M19" s="21">
        <f t="shared" si="0"/>
        <v>448.8</v>
      </c>
      <c r="N19" s="66">
        <f t="shared" si="4"/>
        <v>0</v>
      </c>
      <c r="O19" s="21">
        <f t="shared" si="1"/>
        <v>0</v>
      </c>
    </row>
    <row r="20" spans="1:15" s="21" customFormat="1" ht="25.5" x14ac:dyDescent="0.25">
      <c r="A20" s="53">
        <v>5</v>
      </c>
      <c r="B20" s="78" t="s">
        <v>948</v>
      </c>
      <c r="C20" s="53" t="s">
        <v>23</v>
      </c>
      <c r="D20" s="79">
        <v>4</v>
      </c>
      <c r="E20" s="56">
        <v>30</v>
      </c>
      <c r="F20" s="56">
        <f t="shared" si="2"/>
        <v>120</v>
      </c>
      <c r="G20" s="56">
        <f>F20*0</f>
        <v>0</v>
      </c>
      <c r="H20" s="74">
        <f>E20*1</f>
        <v>30</v>
      </c>
      <c r="I20" s="56">
        <f t="shared" si="3"/>
        <v>120</v>
      </c>
      <c r="J20" s="58"/>
      <c r="M20" s="21">
        <f t="shared" si="0"/>
        <v>448.8</v>
      </c>
      <c r="N20" s="66">
        <f t="shared" si="4"/>
        <v>0</v>
      </c>
      <c r="O20" s="21">
        <f t="shared" si="1"/>
        <v>0</v>
      </c>
    </row>
    <row r="21" spans="1:15" s="21" customFormat="1" ht="25.5" x14ac:dyDescent="0.25">
      <c r="A21" s="53">
        <v>6</v>
      </c>
      <c r="B21" s="78" t="s">
        <v>949</v>
      </c>
      <c r="C21" s="53" t="s">
        <v>76</v>
      </c>
      <c r="D21" s="79">
        <v>12</v>
      </c>
      <c r="E21" s="56">
        <v>100</v>
      </c>
      <c r="F21" s="56">
        <f t="shared" si="2"/>
        <v>1200</v>
      </c>
      <c r="G21" s="56">
        <f t="shared" ref="G21:G33" si="5">F21*0.17</f>
        <v>204.00000000000003</v>
      </c>
      <c r="H21" s="74">
        <f t="shared" ref="H21:H33" si="6">E21*1.17</f>
        <v>117</v>
      </c>
      <c r="I21" s="56">
        <f t="shared" si="3"/>
        <v>1404</v>
      </c>
      <c r="J21" s="58"/>
      <c r="M21" s="21">
        <f t="shared" si="0"/>
        <v>448.8</v>
      </c>
      <c r="N21" s="66">
        <f t="shared" si="4"/>
        <v>0</v>
      </c>
      <c r="O21" s="21">
        <f t="shared" si="1"/>
        <v>0</v>
      </c>
    </row>
    <row r="22" spans="1:15" s="21" customFormat="1" x14ac:dyDescent="0.25">
      <c r="A22" s="53">
        <v>7</v>
      </c>
      <c r="B22" s="78" t="s">
        <v>950</v>
      </c>
      <c r="C22" s="53" t="s">
        <v>76</v>
      </c>
      <c r="D22" s="79">
        <v>24</v>
      </c>
      <c r="E22" s="56">
        <v>30</v>
      </c>
      <c r="F22" s="56">
        <f t="shared" si="2"/>
        <v>720</v>
      </c>
      <c r="G22" s="56">
        <f t="shared" si="5"/>
        <v>122.4</v>
      </c>
      <c r="H22" s="74">
        <f t="shared" si="6"/>
        <v>35.099999999999994</v>
      </c>
      <c r="I22" s="56">
        <f t="shared" si="3"/>
        <v>842.39999999999986</v>
      </c>
      <c r="J22" s="58"/>
      <c r="M22" s="21">
        <f t="shared" si="0"/>
        <v>448.8</v>
      </c>
      <c r="N22" s="66">
        <f t="shared" si="4"/>
        <v>0</v>
      </c>
      <c r="O22" s="21">
        <f t="shared" si="1"/>
        <v>0</v>
      </c>
    </row>
    <row r="23" spans="1:15" s="21" customFormat="1" x14ac:dyDescent="0.25">
      <c r="A23" s="53">
        <v>8</v>
      </c>
      <c r="B23" s="78" t="s">
        <v>951</v>
      </c>
      <c r="C23" s="53" t="s">
        <v>932</v>
      </c>
      <c r="D23" s="79">
        <v>12</v>
      </c>
      <c r="E23" s="56">
        <v>35</v>
      </c>
      <c r="F23" s="56">
        <f t="shared" si="2"/>
        <v>420</v>
      </c>
      <c r="G23" s="56">
        <f t="shared" si="5"/>
        <v>71.400000000000006</v>
      </c>
      <c r="H23" s="74">
        <f t="shared" si="6"/>
        <v>40.949999999999996</v>
      </c>
      <c r="I23" s="56">
        <f t="shared" si="3"/>
        <v>491.4</v>
      </c>
      <c r="J23" s="58"/>
      <c r="M23" s="21">
        <f t="shared" si="0"/>
        <v>448.8</v>
      </c>
      <c r="N23" s="66">
        <f>M23-M27</f>
        <v>0</v>
      </c>
      <c r="O23" s="21">
        <f t="shared" si="1"/>
        <v>0</v>
      </c>
    </row>
    <row r="24" spans="1:15" s="21" customFormat="1" ht="25.5" x14ac:dyDescent="0.25">
      <c r="A24" s="53">
        <v>9</v>
      </c>
      <c r="B24" s="78" t="s">
        <v>952</v>
      </c>
      <c r="C24" s="53" t="s">
        <v>76</v>
      </c>
      <c r="D24" s="79">
        <v>20</v>
      </c>
      <c r="E24" s="56">
        <v>65</v>
      </c>
      <c r="F24" s="56">
        <f t="shared" si="2"/>
        <v>1300</v>
      </c>
      <c r="G24" s="56">
        <f t="shared" si="5"/>
        <v>221.00000000000003</v>
      </c>
      <c r="H24" s="74">
        <f t="shared" si="6"/>
        <v>76.05</v>
      </c>
      <c r="I24" s="56">
        <f t="shared" si="3"/>
        <v>1521</v>
      </c>
      <c r="J24" s="58"/>
      <c r="M24" s="21">
        <f t="shared" si="0"/>
        <v>448.8</v>
      </c>
      <c r="N24" s="66">
        <f t="shared" ref="N24:N29" si="7">M24-M25</f>
        <v>0</v>
      </c>
      <c r="O24" s="21">
        <f t="shared" si="1"/>
        <v>0</v>
      </c>
    </row>
    <row r="25" spans="1:15" s="21" customFormat="1" x14ac:dyDescent="0.25">
      <c r="A25" s="53">
        <v>10</v>
      </c>
      <c r="B25" s="78" t="s">
        <v>441</v>
      </c>
      <c r="C25" s="53" t="s">
        <v>76</v>
      </c>
      <c r="D25" s="79">
        <v>8</v>
      </c>
      <c r="E25" s="56">
        <v>35</v>
      </c>
      <c r="F25" s="56">
        <f t="shared" si="2"/>
        <v>280</v>
      </c>
      <c r="G25" s="56">
        <f t="shared" si="5"/>
        <v>47.6</v>
      </c>
      <c r="H25" s="74">
        <f t="shared" si="6"/>
        <v>40.949999999999996</v>
      </c>
      <c r="I25" s="56">
        <f t="shared" si="3"/>
        <v>327.59999999999997</v>
      </c>
      <c r="J25" s="58"/>
      <c r="M25" s="21">
        <f t="shared" si="0"/>
        <v>448.8</v>
      </c>
      <c r="N25" s="66">
        <f t="shared" si="7"/>
        <v>0</v>
      </c>
      <c r="O25" s="21">
        <f t="shared" si="1"/>
        <v>0</v>
      </c>
    </row>
    <row r="26" spans="1:15" s="21" customFormat="1" x14ac:dyDescent="0.25">
      <c r="A26" s="53">
        <v>11</v>
      </c>
      <c r="B26" s="78" t="s">
        <v>953</v>
      </c>
      <c r="C26" s="53" t="s">
        <v>76</v>
      </c>
      <c r="D26" s="79">
        <v>8</v>
      </c>
      <c r="E26" s="56">
        <v>120</v>
      </c>
      <c r="F26" s="56">
        <f t="shared" si="2"/>
        <v>960</v>
      </c>
      <c r="G26" s="56">
        <f t="shared" si="5"/>
        <v>163.20000000000002</v>
      </c>
      <c r="H26" s="74">
        <f t="shared" si="6"/>
        <v>140.39999999999998</v>
      </c>
      <c r="I26" s="56">
        <f t="shared" si="3"/>
        <v>1123.1999999999998</v>
      </c>
      <c r="J26" s="58"/>
      <c r="M26" s="21">
        <f t="shared" si="0"/>
        <v>448.8</v>
      </c>
      <c r="N26" s="66">
        <f t="shared" si="7"/>
        <v>0</v>
      </c>
      <c r="O26" s="21">
        <f t="shared" si="1"/>
        <v>0</v>
      </c>
    </row>
    <row r="27" spans="1:15" s="21" customFormat="1" x14ac:dyDescent="0.25">
      <c r="A27" s="53">
        <v>12</v>
      </c>
      <c r="B27" s="78" t="s">
        <v>677</v>
      </c>
      <c r="C27" s="53" t="s">
        <v>23</v>
      </c>
      <c r="D27" s="79">
        <v>25</v>
      </c>
      <c r="E27" s="56">
        <v>160</v>
      </c>
      <c r="F27" s="56">
        <f t="shared" si="2"/>
        <v>4000</v>
      </c>
      <c r="G27" s="56">
        <f t="shared" si="5"/>
        <v>680</v>
      </c>
      <c r="H27" s="74">
        <f t="shared" si="6"/>
        <v>187.2</v>
      </c>
      <c r="I27" s="56">
        <f t="shared" si="3"/>
        <v>4680</v>
      </c>
      <c r="J27" s="58"/>
      <c r="M27" s="21">
        <f t="shared" si="0"/>
        <v>448.8</v>
      </c>
      <c r="N27" s="66">
        <f t="shared" si="7"/>
        <v>0</v>
      </c>
      <c r="O27" s="21">
        <f t="shared" si="1"/>
        <v>0</v>
      </c>
    </row>
    <row r="28" spans="1:15" s="21" customFormat="1" x14ac:dyDescent="0.25">
      <c r="A28" s="53">
        <v>13</v>
      </c>
      <c r="B28" s="78" t="s">
        <v>954</v>
      </c>
      <c r="C28" s="53" t="s">
        <v>23</v>
      </c>
      <c r="D28" s="79">
        <v>2</v>
      </c>
      <c r="E28" s="56">
        <v>260</v>
      </c>
      <c r="F28" s="56">
        <f t="shared" si="2"/>
        <v>520</v>
      </c>
      <c r="G28" s="56">
        <f t="shared" si="5"/>
        <v>88.4</v>
      </c>
      <c r="H28" s="74">
        <f t="shared" si="6"/>
        <v>304.2</v>
      </c>
      <c r="I28" s="56">
        <f t="shared" si="3"/>
        <v>608.4</v>
      </c>
      <c r="J28" s="58"/>
      <c r="M28" s="21">
        <f t="shared" si="0"/>
        <v>448.8</v>
      </c>
      <c r="N28" s="66">
        <f t="shared" si="7"/>
        <v>0</v>
      </c>
      <c r="O28" s="21">
        <f t="shared" si="1"/>
        <v>0</v>
      </c>
    </row>
    <row r="29" spans="1:15" s="21" customFormat="1" x14ac:dyDescent="0.25">
      <c r="A29" s="53">
        <v>14</v>
      </c>
      <c r="B29" s="78" t="s">
        <v>955</v>
      </c>
      <c r="C29" s="53" t="s">
        <v>23</v>
      </c>
      <c r="D29" s="79">
        <v>2</v>
      </c>
      <c r="E29" s="56">
        <v>250</v>
      </c>
      <c r="F29" s="56">
        <f t="shared" si="2"/>
        <v>500</v>
      </c>
      <c r="G29" s="56">
        <f t="shared" si="5"/>
        <v>85</v>
      </c>
      <c r="H29" s="74">
        <f t="shared" si="6"/>
        <v>292.5</v>
      </c>
      <c r="I29" s="56">
        <f t="shared" si="3"/>
        <v>585</v>
      </c>
      <c r="J29" s="58"/>
      <c r="M29" s="21">
        <f t="shared" si="0"/>
        <v>448.8</v>
      </c>
      <c r="N29" s="66">
        <f t="shared" si="7"/>
        <v>0</v>
      </c>
      <c r="O29" s="21">
        <f t="shared" si="1"/>
        <v>0</v>
      </c>
    </row>
    <row r="30" spans="1:15" s="21" customFormat="1" x14ac:dyDescent="0.25">
      <c r="A30" s="53">
        <v>15</v>
      </c>
      <c r="B30" s="81" t="s">
        <v>956</v>
      </c>
      <c r="C30" s="53" t="s">
        <v>23</v>
      </c>
      <c r="D30" s="79">
        <v>4</v>
      </c>
      <c r="E30" s="56">
        <v>250</v>
      </c>
      <c r="F30" s="56">
        <f t="shared" si="2"/>
        <v>1000</v>
      </c>
      <c r="G30" s="56">
        <f t="shared" si="5"/>
        <v>170</v>
      </c>
      <c r="H30" s="74">
        <f t="shared" si="6"/>
        <v>292.5</v>
      </c>
      <c r="I30" s="56">
        <f t="shared" si="3"/>
        <v>1170</v>
      </c>
      <c r="J30" s="58"/>
      <c r="M30" s="21">
        <f t="shared" si="0"/>
        <v>448.8</v>
      </c>
      <c r="N30" s="66" t="e">
        <f>M30-#REF!</f>
        <v>#REF!</v>
      </c>
      <c r="O30" s="21" t="e">
        <f t="shared" si="1"/>
        <v>#REF!</v>
      </c>
    </row>
    <row r="31" spans="1:15" s="21" customFormat="1" x14ac:dyDescent="0.25">
      <c r="A31" s="53">
        <v>16</v>
      </c>
      <c r="B31" s="78" t="s">
        <v>957</v>
      </c>
      <c r="C31" s="53" t="s">
        <v>23</v>
      </c>
      <c r="D31" s="79">
        <v>3</v>
      </c>
      <c r="E31" s="56">
        <v>220</v>
      </c>
      <c r="F31" s="56">
        <f t="shared" si="2"/>
        <v>660</v>
      </c>
      <c r="G31" s="56">
        <f t="shared" si="5"/>
        <v>112.2</v>
      </c>
      <c r="H31" s="74">
        <f t="shared" si="6"/>
        <v>257.39999999999998</v>
      </c>
      <c r="I31" s="56">
        <f t="shared" si="3"/>
        <v>772.19999999999993</v>
      </c>
      <c r="J31" s="58"/>
      <c r="M31" s="21">
        <f t="shared" si="0"/>
        <v>448.8</v>
      </c>
      <c r="N31" s="66">
        <f t="shared" ref="N31" si="8">M31-M32</f>
        <v>0</v>
      </c>
      <c r="O31" s="21">
        <f t="shared" si="1"/>
        <v>0</v>
      </c>
    </row>
    <row r="32" spans="1:15" s="21" customFormat="1" x14ac:dyDescent="0.25">
      <c r="A32" s="53">
        <v>17</v>
      </c>
      <c r="B32" s="78" t="s">
        <v>958</v>
      </c>
      <c r="C32" s="53" t="s">
        <v>23</v>
      </c>
      <c r="D32" s="79">
        <v>12</v>
      </c>
      <c r="E32" s="56">
        <v>15</v>
      </c>
      <c r="F32" s="56">
        <f t="shared" si="2"/>
        <v>180</v>
      </c>
      <c r="G32" s="56">
        <f t="shared" si="5"/>
        <v>30.6</v>
      </c>
      <c r="H32" s="74">
        <f t="shared" si="6"/>
        <v>17.549999999999997</v>
      </c>
      <c r="I32" s="56">
        <f t="shared" si="3"/>
        <v>210.59999999999997</v>
      </c>
      <c r="J32" s="58"/>
      <c r="M32" s="21">
        <f t="shared" si="0"/>
        <v>448.8</v>
      </c>
      <c r="N32" s="66" t="e">
        <f>M32-#REF!</f>
        <v>#REF!</v>
      </c>
      <c r="O32" s="21" t="e">
        <f t="shared" si="1"/>
        <v>#REF!</v>
      </c>
    </row>
    <row r="33" spans="1:18" s="21" customFormat="1" x14ac:dyDescent="0.25">
      <c r="A33" s="53"/>
      <c r="B33" s="47"/>
      <c r="C33" s="82"/>
      <c r="D33" s="57"/>
      <c r="E33" s="56"/>
      <c r="F33" s="56">
        <f t="shared" si="2"/>
        <v>0</v>
      </c>
      <c r="G33" s="56">
        <f t="shared" si="5"/>
        <v>0</v>
      </c>
      <c r="H33" s="57">
        <f t="shared" si="6"/>
        <v>0</v>
      </c>
      <c r="I33" s="56">
        <f t="shared" si="3"/>
        <v>0</v>
      </c>
      <c r="J33" s="58"/>
      <c r="M33" s="21">
        <f t="shared" si="0"/>
        <v>448.8</v>
      </c>
      <c r="N33" s="66" t="e">
        <f>M33-#REF!</f>
        <v>#REF!</v>
      </c>
      <c r="O33" s="21" t="e">
        <f t="shared" si="1"/>
        <v>#REF!</v>
      </c>
    </row>
    <row r="34" spans="1:18" ht="15.75" thickBot="1" x14ac:dyDescent="0.3">
      <c r="A34" s="33"/>
      <c r="B34" s="34" t="s">
        <v>24</v>
      </c>
      <c r="C34" s="35"/>
      <c r="D34" s="62">
        <f>SUM(D16:D33)</f>
        <v>160</v>
      </c>
      <c r="E34" s="35"/>
      <c r="F34" s="62">
        <f>SUM(F16:F33)</f>
        <v>13000</v>
      </c>
      <c r="G34" s="62">
        <f>SUM(G16:G33)</f>
        <v>1995.8000000000002</v>
      </c>
      <c r="H34" s="35"/>
      <c r="I34" s="62">
        <f>SUM(I16:I33)</f>
        <v>14995.8</v>
      </c>
      <c r="J34" s="37"/>
      <c r="M34" t="e">
        <f>#REF!/117*100</f>
        <v>#REF!</v>
      </c>
      <c r="O34" t="e">
        <f>M34*1.1</f>
        <v>#REF!</v>
      </c>
    </row>
    <row r="35" spans="1:18" ht="15.75" thickTop="1" x14ac:dyDescent="0.25">
      <c r="A35" s="33"/>
      <c r="B35" s="34" t="s">
        <v>959</v>
      </c>
      <c r="C35" s="35"/>
      <c r="D35" s="35"/>
      <c r="E35" s="35"/>
      <c r="F35" s="35"/>
      <c r="G35" s="35"/>
      <c r="H35" s="35"/>
      <c r="I35" s="35"/>
      <c r="J35" s="37"/>
    </row>
    <row r="36" spans="1:18" x14ac:dyDescent="0.25">
      <c r="A36" s="33"/>
      <c r="B36" s="38" t="s">
        <v>25</v>
      </c>
      <c r="C36" s="35"/>
      <c r="D36" s="35"/>
      <c r="E36" s="35"/>
      <c r="F36" s="35"/>
      <c r="G36" s="35"/>
      <c r="H36" s="35"/>
      <c r="I36" s="35"/>
      <c r="J36" s="37"/>
      <c r="M36" s="64" t="e">
        <f>M34*#REF!</f>
        <v>#REF!</v>
      </c>
      <c r="O36" s="65" t="e">
        <f>#REF!</f>
        <v>#REF!</v>
      </c>
      <c r="P36" s="64" t="e">
        <f>O36-M36</f>
        <v>#REF!</v>
      </c>
      <c r="Q36" s="64" t="e">
        <f>#REF!*0.045</f>
        <v>#REF!</v>
      </c>
      <c r="R36" s="64" t="e">
        <f>P36-Q36</f>
        <v>#REF!</v>
      </c>
    </row>
    <row r="37" spans="1:18" ht="30" customHeight="1" x14ac:dyDescent="0.25">
      <c r="B37" s="183" t="s">
        <v>26</v>
      </c>
      <c r="C37" s="183"/>
      <c r="D37" s="183"/>
      <c r="E37" s="183"/>
      <c r="F37" s="183"/>
      <c r="G37" s="183"/>
      <c r="H37" s="183"/>
      <c r="I37" s="183"/>
      <c r="J37" s="183"/>
      <c r="P37" s="64"/>
      <c r="R37" s="65" t="e">
        <f>#REF!-#REF!</f>
        <v>#REF!</v>
      </c>
    </row>
    <row r="38" spans="1:18" x14ac:dyDescent="0.25">
      <c r="B38" t="s">
        <v>27</v>
      </c>
    </row>
    <row r="41" spans="1:18" x14ac:dyDescent="0.25">
      <c r="B41" t="s">
        <v>28</v>
      </c>
      <c r="H41" t="s">
        <v>28</v>
      </c>
    </row>
    <row r="42" spans="1:18" x14ac:dyDescent="0.25">
      <c r="B42" t="s">
        <v>29</v>
      </c>
      <c r="H42" t="s">
        <v>30</v>
      </c>
    </row>
  </sheetData>
  <autoFilter ref="A15:J38" xr:uid="{00000000-0009-0000-0000-000001000000}"/>
  <mergeCells count="5">
    <mergeCell ref="A6:J6"/>
    <mergeCell ref="I7:J7"/>
    <mergeCell ref="I8:J8"/>
    <mergeCell ref="I9:J9"/>
    <mergeCell ref="B37:J37"/>
  </mergeCells>
  <hyperlinks>
    <hyperlink ref="H5" r:id="rId1" xr:uid="{2B38959A-084E-4692-A105-0001E0D52840}"/>
  </hyperlinks>
  <pageMargins left="0.2" right="0.1" top="0.25" bottom="0.25" header="0.3" footer="0.3"/>
  <pageSetup paperSize="9" orientation="portrait" r:id="rId2"/>
  <drawing r:id="rId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44E8E-6088-4A82-8791-3487E6AB7C5D}">
  <dimension ref="A1:J25"/>
  <sheetViews>
    <sheetView workbookViewId="0">
      <selection activeCell="H19" sqref="H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938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939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>
        <v>8800641196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940</v>
      </c>
      <c r="C16" s="54" t="s">
        <v>23</v>
      </c>
      <c r="D16" s="72">
        <v>30000</v>
      </c>
      <c r="E16" s="56">
        <v>3.1</v>
      </c>
      <c r="F16" s="56">
        <f t="shared" ref="F16" si="0">D16*E16</f>
        <v>93000</v>
      </c>
      <c r="G16" s="56">
        <f>F16*0.17</f>
        <v>15810.000000000002</v>
      </c>
      <c r="H16" s="74">
        <f>E16*1.17</f>
        <v>3.6269999999999998</v>
      </c>
      <c r="I16" s="56">
        <f t="shared" ref="I16" si="1">H16*D16</f>
        <v>108810</v>
      </c>
      <c r="J16" s="58"/>
    </row>
    <row r="17" spans="1:10" ht="15.75" thickBot="1" x14ac:dyDescent="0.3">
      <c r="A17" s="33"/>
      <c r="B17" s="34" t="s">
        <v>24</v>
      </c>
      <c r="C17" s="35"/>
      <c r="D17" s="73">
        <f>SUM(D16:D16)</f>
        <v>30000</v>
      </c>
      <c r="E17" s="35"/>
      <c r="F17" s="62">
        <f>SUM(F16:F16)</f>
        <v>93000</v>
      </c>
      <c r="G17" s="62">
        <f>SUM(G16:G16)</f>
        <v>15810.000000000002</v>
      </c>
      <c r="H17" s="35"/>
      <c r="I17" s="62">
        <f>SUM(I16:I16)</f>
        <v>108810</v>
      </c>
      <c r="J17" s="37"/>
    </row>
    <row r="18" spans="1:10" ht="15.75" thickTop="1" x14ac:dyDescent="0.25">
      <c r="A18" s="33"/>
      <c r="B18" s="34" t="s">
        <v>941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180C547F-A031-48D5-B354-4A4ABE7DABD2}"/>
  </hyperlinks>
  <pageMargins left="0.2" right="0.1" top="0.25" bottom="0.25" header="0.3" footer="0.3"/>
  <pageSetup paperSize="9" orientation="portrait" r:id="rId2"/>
  <drawing r:id="rId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D2D37-01A0-4BD3-A23B-500C9CE6EB5F}">
  <dimension ref="A1:J25"/>
  <sheetViews>
    <sheetView workbookViewId="0">
      <selection activeCell="B3" sqref="B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935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934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936</v>
      </c>
      <c r="C16" s="54" t="s">
        <v>76</v>
      </c>
      <c r="D16" s="55">
        <v>1</v>
      </c>
      <c r="E16" s="56">
        <v>1250</v>
      </c>
      <c r="F16" s="56">
        <f t="shared" ref="F16" si="0">D16*E16</f>
        <v>1250</v>
      </c>
      <c r="G16" s="56">
        <f>F16*0.17</f>
        <v>212.50000000000003</v>
      </c>
      <c r="H16" s="57">
        <f>E16*1.17</f>
        <v>1462.5</v>
      </c>
      <c r="I16" s="56">
        <f t="shared" ref="I16" si="1">H16*D16</f>
        <v>1462.5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1</v>
      </c>
      <c r="E17" s="35"/>
      <c r="F17" s="62">
        <f>SUM(F16:F16)</f>
        <v>1250</v>
      </c>
      <c r="G17" s="62">
        <f>SUM(G16:G16)</f>
        <v>212.50000000000003</v>
      </c>
      <c r="H17" s="35"/>
      <c r="I17" s="62">
        <f>SUM(I16:I16)</f>
        <v>1462.5</v>
      </c>
      <c r="J17" s="37"/>
    </row>
    <row r="18" spans="1:10" ht="15.75" thickTop="1" x14ac:dyDescent="0.25">
      <c r="A18" s="33"/>
      <c r="B18" s="34" t="s">
        <v>937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DB8932E4-97EF-4FA7-8C13-1DE23CCF4EA3}"/>
  </hyperlinks>
  <pageMargins left="0.2" right="0.1" top="0.25" bottom="0.25" header="0.3" footer="0.3"/>
  <pageSetup paperSize="9" orientation="portrait" r:id="rId2"/>
  <drawing r:id="rId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87596-A58F-40EC-98E6-AE00EAB912F3}">
  <dimension ref="A1:R51"/>
  <sheetViews>
    <sheetView topLeftCell="A6" workbookViewId="0">
      <selection activeCell="C22" sqref="C2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910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920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601</v>
      </c>
      <c r="D10" s="10"/>
      <c r="E10" s="10"/>
      <c r="F10" s="10"/>
    </row>
    <row r="11" spans="1:15" x14ac:dyDescent="0.25">
      <c r="B11" t="s">
        <v>11</v>
      </c>
      <c r="C11" s="10" t="s">
        <v>736</v>
      </c>
      <c r="D11" s="11"/>
      <c r="E11" s="11"/>
      <c r="F11" s="11"/>
    </row>
    <row r="12" spans="1:15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5" ht="5.0999999999999996" customHeight="1" thickBot="1" x14ac:dyDescent="0.3">
      <c r="C14" s="14"/>
    </row>
    <row r="15" spans="1:15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  <c r="M15" s="21" t="s">
        <v>738</v>
      </c>
    </row>
    <row r="16" spans="1:15" s="21" customFormat="1" x14ac:dyDescent="0.25">
      <c r="A16" s="53">
        <v>1</v>
      </c>
      <c r="B16" s="47" t="s">
        <v>921</v>
      </c>
      <c r="C16" s="54" t="s">
        <v>23</v>
      </c>
      <c r="D16" s="55">
        <v>1</v>
      </c>
      <c r="E16" s="56">
        <v>48</v>
      </c>
      <c r="F16" s="56">
        <f t="shared" ref="F16:F42" si="0">D16*E16</f>
        <v>48</v>
      </c>
      <c r="G16" s="56">
        <f>F16*0</f>
        <v>0</v>
      </c>
      <c r="H16" s="57">
        <f>E16*1</f>
        <v>48</v>
      </c>
      <c r="I16" s="56">
        <f t="shared" ref="I16:I42" si="1">H16*D16</f>
        <v>48</v>
      </c>
      <c r="J16" s="58"/>
      <c r="M16" s="21">
        <f t="shared" ref="M16:M42" si="2">440*1.02</f>
        <v>448.8</v>
      </c>
      <c r="N16" s="66">
        <f>M16-M20</f>
        <v>0</v>
      </c>
      <c r="O16" s="21">
        <f t="shared" ref="O16:O42" si="3">N16*D16</f>
        <v>0</v>
      </c>
    </row>
    <row r="17" spans="1:15" s="21" customFormat="1" x14ac:dyDescent="0.25">
      <c r="A17" s="53">
        <f>A16+1</f>
        <v>2</v>
      </c>
      <c r="B17" s="47" t="s">
        <v>922</v>
      </c>
      <c r="C17" s="54" t="s">
        <v>23</v>
      </c>
      <c r="D17" s="55">
        <v>1</v>
      </c>
      <c r="E17" s="56">
        <v>48</v>
      </c>
      <c r="F17" s="56">
        <f t="shared" si="0"/>
        <v>48</v>
      </c>
      <c r="G17" s="56">
        <f>F17*0</f>
        <v>0</v>
      </c>
      <c r="H17" s="57">
        <f>E17*1</f>
        <v>48</v>
      </c>
      <c r="I17" s="56">
        <f t="shared" si="1"/>
        <v>48</v>
      </c>
      <c r="J17" s="58"/>
      <c r="M17" s="21">
        <f t="shared" si="2"/>
        <v>448.8</v>
      </c>
      <c r="N17" s="66">
        <f t="shared" ref="N17:N22" si="4">M17-M18</f>
        <v>0</v>
      </c>
      <c r="O17" s="21">
        <f t="shared" si="3"/>
        <v>0</v>
      </c>
    </row>
    <row r="18" spans="1:15" s="21" customFormat="1" x14ac:dyDescent="0.25">
      <c r="A18" s="53">
        <f t="shared" ref="A18:A42" si="5">A17+1</f>
        <v>3</v>
      </c>
      <c r="B18" s="47" t="s">
        <v>923</v>
      </c>
      <c r="C18" s="54" t="s">
        <v>23</v>
      </c>
      <c r="D18" s="55">
        <v>1</v>
      </c>
      <c r="E18" s="56">
        <v>350</v>
      </c>
      <c r="F18" s="56">
        <f t="shared" si="0"/>
        <v>350</v>
      </c>
      <c r="G18" s="56">
        <f t="shared" ref="G18:G42" si="6">F18*0.17</f>
        <v>59.500000000000007</v>
      </c>
      <c r="H18" s="57">
        <f t="shared" ref="H18:H42" si="7">E18*1.17</f>
        <v>409.5</v>
      </c>
      <c r="I18" s="56">
        <f t="shared" si="1"/>
        <v>409.5</v>
      </c>
      <c r="J18" s="58"/>
      <c r="M18" s="21">
        <f t="shared" si="2"/>
        <v>448.8</v>
      </c>
      <c r="N18" s="66">
        <f t="shared" si="4"/>
        <v>0</v>
      </c>
      <c r="O18" s="21">
        <f t="shared" si="3"/>
        <v>0</v>
      </c>
    </row>
    <row r="19" spans="1:15" s="21" customFormat="1" x14ac:dyDescent="0.25">
      <c r="A19" s="53">
        <f t="shared" si="5"/>
        <v>4</v>
      </c>
      <c r="B19" s="47" t="s">
        <v>380</v>
      </c>
      <c r="C19" s="54" t="s">
        <v>23</v>
      </c>
      <c r="D19" s="55">
        <v>2</v>
      </c>
      <c r="E19" s="56">
        <v>30</v>
      </c>
      <c r="F19" s="56">
        <f t="shared" si="0"/>
        <v>60</v>
      </c>
      <c r="G19" s="56">
        <f>F19*0</f>
        <v>0</v>
      </c>
      <c r="H19" s="57">
        <f>E19*1</f>
        <v>30</v>
      </c>
      <c r="I19" s="56">
        <f t="shared" si="1"/>
        <v>60</v>
      </c>
      <c r="J19" s="58"/>
      <c r="M19" s="21">
        <f t="shared" si="2"/>
        <v>448.8</v>
      </c>
      <c r="N19" s="66">
        <f t="shared" si="4"/>
        <v>0</v>
      </c>
      <c r="O19" s="21">
        <f t="shared" si="3"/>
        <v>0</v>
      </c>
    </row>
    <row r="20" spans="1:15" s="21" customFormat="1" x14ac:dyDescent="0.25">
      <c r="A20" s="53">
        <f t="shared" si="5"/>
        <v>5</v>
      </c>
      <c r="B20" s="47" t="s">
        <v>924</v>
      </c>
      <c r="C20" s="54" t="s">
        <v>23</v>
      </c>
      <c r="D20" s="55">
        <v>1</v>
      </c>
      <c r="E20" s="56">
        <v>30</v>
      </c>
      <c r="F20" s="56">
        <f t="shared" si="0"/>
        <v>30</v>
      </c>
      <c r="G20" s="56">
        <f>F20*0</f>
        <v>0</v>
      </c>
      <c r="H20" s="57">
        <f>E20*1</f>
        <v>30</v>
      </c>
      <c r="I20" s="56">
        <f t="shared" si="1"/>
        <v>30</v>
      </c>
      <c r="J20" s="58"/>
      <c r="M20" s="21">
        <f t="shared" si="2"/>
        <v>448.8</v>
      </c>
      <c r="N20" s="66">
        <f t="shared" si="4"/>
        <v>0</v>
      </c>
      <c r="O20" s="21">
        <f t="shared" si="3"/>
        <v>0</v>
      </c>
    </row>
    <row r="21" spans="1:15" s="21" customFormat="1" x14ac:dyDescent="0.25">
      <c r="A21" s="53">
        <f t="shared" si="5"/>
        <v>6</v>
      </c>
      <c r="B21" s="47" t="s">
        <v>381</v>
      </c>
      <c r="C21" s="54" t="s">
        <v>23</v>
      </c>
      <c r="D21" s="55">
        <v>1</v>
      </c>
      <c r="E21" s="56">
        <v>30</v>
      </c>
      <c r="F21" s="56">
        <f t="shared" si="0"/>
        <v>30</v>
      </c>
      <c r="G21" s="56">
        <f>F21*0</f>
        <v>0</v>
      </c>
      <c r="H21" s="57">
        <f>E21*1</f>
        <v>30</v>
      </c>
      <c r="I21" s="56">
        <f t="shared" si="1"/>
        <v>30</v>
      </c>
      <c r="J21" s="58"/>
      <c r="M21" s="21">
        <f t="shared" si="2"/>
        <v>448.8</v>
      </c>
      <c r="N21" s="66">
        <f t="shared" si="4"/>
        <v>0</v>
      </c>
      <c r="O21" s="21">
        <f t="shared" si="3"/>
        <v>0</v>
      </c>
    </row>
    <row r="22" spans="1:15" s="21" customFormat="1" x14ac:dyDescent="0.25">
      <c r="A22" s="53">
        <f t="shared" si="5"/>
        <v>7</v>
      </c>
      <c r="B22" s="47" t="s">
        <v>209</v>
      </c>
      <c r="C22" s="54" t="s">
        <v>165</v>
      </c>
      <c r="D22" s="55">
        <v>1</v>
      </c>
      <c r="E22" s="56">
        <v>500</v>
      </c>
      <c r="F22" s="56">
        <f t="shared" si="0"/>
        <v>500</v>
      </c>
      <c r="G22" s="56">
        <f t="shared" si="6"/>
        <v>85</v>
      </c>
      <c r="H22" s="57">
        <f t="shared" si="7"/>
        <v>585</v>
      </c>
      <c r="I22" s="56">
        <f t="shared" si="1"/>
        <v>585</v>
      </c>
      <c r="J22" s="58"/>
      <c r="M22" s="21">
        <f t="shared" si="2"/>
        <v>448.8</v>
      </c>
      <c r="N22" s="66">
        <f t="shared" si="4"/>
        <v>0</v>
      </c>
      <c r="O22" s="21">
        <f t="shared" si="3"/>
        <v>0</v>
      </c>
    </row>
    <row r="23" spans="1:15" s="21" customFormat="1" x14ac:dyDescent="0.25">
      <c r="A23" s="53">
        <f t="shared" si="5"/>
        <v>8</v>
      </c>
      <c r="B23" s="47" t="s">
        <v>925</v>
      </c>
      <c r="C23" s="54" t="s">
        <v>23</v>
      </c>
      <c r="D23" s="55">
        <v>40</v>
      </c>
      <c r="E23" s="56">
        <v>20</v>
      </c>
      <c r="F23" s="56">
        <f t="shared" si="0"/>
        <v>800</v>
      </c>
      <c r="G23" s="56">
        <f t="shared" si="6"/>
        <v>136</v>
      </c>
      <c r="H23" s="57">
        <f t="shared" si="7"/>
        <v>23.4</v>
      </c>
      <c r="I23" s="56">
        <f t="shared" si="1"/>
        <v>936</v>
      </c>
      <c r="J23" s="58"/>
      <c r="M23" s="21">
        <f t="shared" si="2"/>
        <v>448.8</v>
      </c>
      <c r="N23" s="66">
        <f>M23-M27</f>
        <v>0</v>
      </c>
      <c r="O23" s="21">
        <f t="shared" si="3"/>
        <v>0</v>
      </c>
    </row>
    <row r="24" spans="1:15" s="21" customFormat="1" x14ac:dyDescent="0.25">
      <c r="A24" s="53">
        <f t="shared" si="5"/>
        <v>9</v>
      </c>
      <c r="B24" s="47" t="s">
        <v>656</v>
      </c>
      <c r="C24" s="54" t="s">
        <v>931</v>
      </c>
      <c r="D24" s="55">
        <v>15</v>
      </c>
      <c r="E24" s="56">
        <v>25</v>
      </c>
      <c r="F24" s="56">
        <f t="shared" si="0"/>
        <v>375</v>
      </c>
      <c r="G24" s="56">
        <f t="shared" si="6"/>
        <v>63.750000000000007</v>
      </c>
      <c r="H24" s="57">
        <f t="shared" si="7"/>
        <v>29.25</v>
      </c>
      <c r="I24" s="56">
        <f t="shared" si="1"/>
        <v>438.75</v>
      </c>
      <c r="J24" s="58"/>
      <c r="M24" s="21">
        <f t="shared" si="2"/>
        <v>448.8</v>
      </c>
      <c r="N24" s="66">
        <f t="shared" ref="N24:N29" si="8">M24-M25</f>
        <v>0</v>
      </c>
      <c r="O24" s="21">
        <f t="shared" si="3"/>
        <v>0</v>
      </c>
    </row>
    <row r="25" spans="1:15" s="21" customFormat="1" x14ac:dyDescent="0.25">
      <c r="A25" s="53">
        <f t="shared" si="5"/>
        <v>10</v>
      </c>
      <c r="B25" s="47" t="s">
        <v>926</v>
      </c>
      <c r="C25" s="54" t="s">
        <v>23</v>
      </c>
      <c r="D25" s="55">
        <v>2</v>
      </c>
      <c r="E25" s="56">
        <v>1650</v>
      </c>
      <c r="F25" s="56">
        <f t="shared" si="0"/>
        <v>3300</v>
      </c>
      <c r="G25" s="56">
        <f t="shared" si="6"/>
        <v>561</v>
      </c>
      <c r="H25" s="57">
        <f t="shared" si="7"/>
        <v>1930.4999999999998</v>
      </c>
      <c r="I25" s="56">
        <f t="shared" si="1"/>
        <v>3860.9999999999995</v>
      </c>
      <c r="J25" s="58"/>
      <c r="M25" s="21">
        <f t="shared" si="2"/>
        <v>448.8</v>
      </c>
      <c r="N25" s="66">
        <f t="shared" si="8"/>
        <v>0</v>
      </c>
      <c r="O25" s="21">
        <f t="shared" si="3"/>
        <v>0</v>
      </c>
    </row>
    <row r="26" spans="1:15" s="21" customFormat="1" x14ac:dyDescent="0.25">
      <c r="A26" s="53">
        <f t="shared" si="5"/>
        <v>11</v>
      </c>
      <c r="B26" s="47" t="s">
        <v>927</v>
      </c>
      <c r="C26" s="54" t="s">
        <v>76</v>
      </c>
      <c r="D26" s="55">
        <v>1</v>
      </c>
      <c r="E26" s="56">
        <v>90</v>
      </c>
      <c r="F26" s="56">
        <f t="shared" si="0"/>
        <v>90</v>
      </c>
      <c r="G26" s="56">
        <f>F26*0</f>
        <v>0</v>
      </c>
      <c r="H26" s="57">
        <f>E26*1</f>
        <v>90</v>
      </c>
      <c r="I26" s="56">
        <f t="shared" si="1"/>
        <v>90</v>
      </c>
      <c r="J26" s="58"/>
      <c r="M26" s="21">
        <f t="shared" si="2"/>
        <v>448.8</v>
      </c>
      <c r="N26" s="66">
        <f t="shared" si="8"/>
        <v>0</v>
      </c>
      <c r="O26" s="21">
        <f t="shared" si="3"/>
        <v>0</v>
      </c>
    </row>
    <row r="27" spans="1:15" s="21" customFormat="1" x14ac:dyDescent="0.25">
      <c r="A27" s="53">
        <f t="shared" si="5"/>
        <v>12</v>
      </c>
      <c r="B27" s="47" t="s">
        <v>688</v>
      </c>
      <c r="C27" s="54" t="s">
        <v>76</v>
      </c>
      <c r="D27" s="55">
        <v>10</v>
      </c>
      <c r="E27" s="56">
        <v>70</v>
      </c>
      <c r="F27" s="56">
        <f t="shared" si="0"/>
        <v>700</v>
      </c>
      <c r="G27" s="56">
        <f>F27*0</f>
        <v>0</v>
      </c>
      <c r="H27" s="57">
        <f>E27*1</f>
        <v>70</v>
      </c>
      <c r="I27" s="56">
        <f t="shared" si="1"/>
        <v>700</v>
      </c>
      <c r="J27" s="58"/>
      <c r="M27" s="21">
        <f t="shared" si="2"/>
        <v>448.8</v>
      </c>
      <c r="N27" s="66">
        <f t="shared" si="8"/>
        <v>0</v>
      </c>
      <c r="O27" s="21">
        <f t="shared" si="3"/>
        <v>0</v>
      </c>
    </row>
    <row r="28" spans="1:15" s="21" customFormat="1" x14ac:dyDescent="0.25">
      <c r="A28" s="53">
        <f t="shared" si="5"/>
        <v>13</v>
      </c>
      <c r="B28" s="47" t="s">
        <v>689</v>
      </c>
      <c r="C28" s="54" t="s">
        <v>76</v>
      </c>
      <c r="D28" s="55">
        <v>12</v>
      </c>
      <c r="E28" s="56">
        <v>70</v>
      </c>
      <c r="F28" s="56">
        <f t="shared" si="0"/>
        <v>840</v>
      </c>
      <c r="G28" s="56">
        <f>F28*0</f>
        <v>0</v>
      </c>
      <c r="H28" s="57">
        <f>E28*1</f>
        <v>70</v>
      </c>
      <c r="I28" s="56">
        <f t="shared" si="1"/>
        <v>840</v>
      </c>
      <c r="J28" s="58"/>
      <c r="M28" s="21">
        <f t="shared" si="2"/>
        <v>448.8</v>
      </c>
      <c r="N28" s="66">
        <f t="shared" si="8"/>
        <v>0</v>
      </c>
      <c r="O28" s="21">
        <f t="shared" si="3"/>
        <v>0</v>
      </c>
    </row>
    <row r="29" spans="1:15" s="21" customFormat="1" x14ac:dyDescent="0.25">
      <c r="A29" s="53">
        <f t="shared" si="5"/>
        <v>14</v>
      </c>
      <c r="B29" s="47" t="s">
        <v>690</v>
      </c>
      <c r="C29" s="54" t="s">
        <v>76</v>
      </c>
      <c r="D29" s="55">
        <v>10</v>
      </c>
      <c r="E29" s="56">
        <v>22</v>
      </c>
      <c r="F29" s="56">
        <f t="shared" si="0"/>
        <v>220</v>
      </c>
      <c r="G29" s="56">
        <f t="shared" si="6"/>
        <v>37.400000000000006</v>
      </c>
      <c r="H29" s="57">
        <f t="shared" si="7"/>
        <v>25.74</v>
      </c>
      <c r="I29" s="56">
        <f t="shared" si="1"/>
        <v>257.39999999999998</v>
      </c>
      <c r="J29" s="58"/>
      <c r="M29" s="21">
        <f t="shared" si="2"/>
        <v>448.8</v>
      </c>
      <c r="N29" s="66">
        <f t="shared" si="8"/>
        <v>0</v>
      </c>
      <c r="O29" s="21">
        <f t="shared" si="3"/>
        <v>0</v>
      </c>
    </row>
    <row r="30" spans="1:15" s="21" customFormat="1" x14ac:dyDescent="0.25">
      <c r="A30" s="53">
        <f t="shared" si="5"/>
        <v>15</v>
      </c>
      <c r="B30" s="47" t="s">
        <v>928</v>
      </c>
      <c r="C30" s="54" t="s">
        <v>23</v>
      </c>
      <c r="D30" s="55">
        <v>12</v>
      </c>
      <c r="E30" s="56">
        <v>75</v>
      </c>
      <c r="F30" s="56">
        <f t="shared" si="0"/>
        <v>900</v>
      </c>
      <c r="G30" s="56">
        <f t="shared" si="6"/>
        <v>153</v>
      </c>
      <c r="H30" s="57">
        <f t="shared" si="7"/>
        <v>87.75</v>
      </c>
      <c r="I30" s="56">
        <f t="shared" si="1"/>
        <v>1053</v>
      </c>
      <c r="J30" s="58"/>
      <c r="M30" s="21">
        <f t="shared" si="2"/>
        <v>448.8</v>
      </c>
      <c r="N30" s="66">
        <f>M30-M34</f>
        <v>0</v>
      </c>
      <c r="O30" s="21">
        <f t="shared" si="3"/>
        <v>0</v>
      </c>
    </row>
    <row r="31" spans="1:15" s="21" customFormat="1" x14ac:dyDescent="0.25">
      <c r="A31" s="53">
        <f t="shared" si="5"/>
        <v>16</v>
      </c>
      <c r="B31" s="47" t="s">
        <v>691</v>
      </c>
      <c r="C31" s="54" t="s">
        <v>23</v>
      </c>
      <c r="D31" s="55">
        <v>2</v>
      </c>
      <c r="E31" s="56">
        <v>45</v>
      </c>
      <c r="F31" s="56">
        <f t="shared" si="0"/>
        <v>90</v>
      </c>
      <c r="G31" s="56">
        <f t="shared" si="6"/>
        <v>15.3</v>
      </c>
      <c r="H31" s="57">
        <f t="shared" si="7"/>
        <v>52.65</v>
      </c>
      <c r="I31" s="56">
        <f t="shared" si="1"/>
        <v>105.3</v>
      </c>
      <c r="J31" s="58"/>
      <c r="M31" s="21">
        <f t="shared" si="2"/>
        <v>448.8</v>
      </c>
      <c r="N31" s="66">
        <f t="shared" ref="N31:N36" si="9">M31-M32</f>
        <v>0</v>
      </c>
      <c r="O31" s="21">
        <f t="shared" si="3"/>
        <v>0</v>
      </c>
    </row>
    <row r="32" spans="1:15" s="21" customFormat="1" x14ac:dyDescent="0.25">
      <c r="A32" s="53">
        <f t="shared" si="5"/>
        <v>17</v>
      </c>
      <c r="B32" s="47" t="s">
        <v>608</v>
      </c>
      <c r="C32" s="54" t="s">
        <v>23</v>
      </c>
      <c r="D32" s="55">
        <v>2</v>
      </c>
      <c r="E32" s="56">
        <v>35</v>
      </c>
      <c r="F32" s="56">
        <f t="shared" si="0"/>
        <v>70</v>
      </c>
      <c r="G32" s="56">
        <f t="shared" si="6"/>
        <v>11.9</v>
      </c>
      <c r="H32" s="57">
        <f t="shared" si="7"/>
        <v>40.949999999999996</v>
      </c>
      <c r="I32" s="56">
        <f t="shared" si="1"/>
        <v>81.899999999999991</v>
      </c>
      <c r="J32" s="58"/>
      <c r="M32" s="21">
        <f t="shared" si="2"/>
        <v>448.8</v>
      </c>
      <c r="N32" s="66">
        <f t="shared" si="9"/>
        <v>0</v>
      </c>
      <c r="O32" s="21">
        <f t="shared" si="3"/>
        <v>0</v>
      </c>
    </row>
    <row r="33" spans="1:18" s="21" customFormat="1" x14ac:dyDescent="0.25">
      <c r="A33" s="53">
        <f t="shared" si="5"/>
        <v>18</v>
      </c>
      <c r="B33" s="47" t="s">
        <v>694</v>
      </c>
      <c r="C33" s="54" t="s">
        <v>76</v>
      </c>
      <c r="D33" s="55">
        <v>1</v>
      </c>
      <c r="E33" s="56">
        <v>144</v>
      </c>
      <c r="F33" s="56">
        <f t="shared" si="0"/>
        <v>144</v>
      </c>
      <c r="G33" s="56">
        <f t="shared" si="6"/>
        <v>24.48</v>
      </c>
      <c r="H33" s="57">
        <f t="shared" si="7"/>
        <v>168.48</v>
      </c>
      <c r="I33" s="56">
        <f t="shared" si="1"/>
        <v>168.48</v>
      </c>
      <c r="J33" s="58"/>
      <c r="M33" s="21">
        <f t="shared" si="2"/>
        <v>448.8</v>
      </c>
      <c r="N33" s="66">
        <f t="shared" si="9"/>
        <v>0</v>
      </c>
      <c r="O33" s="21">
        <f t="shared" si="3"/>
        <v>0</v>
      </c>
    </row>
    <row r="34" spans="1:18" s="21" customFormat="1" x14ac:dyDescent="0.25">
      <c r="A34" s="53">
        <f t="shared" si="5"/>
        <v>19</v>
      </c>
      <c r="B34" s="47" t="s">
        <v>695</v>
      </c>
      <c r="C34" s="54" t="s">
        <v>932</v>
      </c>
      <c r="D34" s="55">
        <v>12</v>
      </c>
      <c r="E34" s="56">
        <v>45</v>
      </c>
      <c r="F34" s="56">
        <f t="shared" si="0"/>
        <v>540</v>
      </c>
      <c r="G34" s="56">
        <f t="shared" si="6"/>
        <v>91.800000000000011</v>
      </c>
      <c r="H34" s="57">
        <f t="shared" si="7"/>
        <v>52.65</v>
      </c>
      <c r="I34" s="56">
        <f t="shared" si="1"/>
        <v>631.79999999999995</v>
      </c>
      <c r="J34" s="58"/>
      <c r="M34" s="21">
        <f t="shared" si="2"/>
        <v>448.8</v>
      </c>
      <c r="N34" s="66">
        <f t="shared" si="9"/>
        <v>0</v>
      </c>
      <c r="O34" s="21">
        <f t="shared" si="3"/>
        <v>0</v>
      </c>
    </row>
    <row r="35" spans="1:18" s="21" customFormat="1" x14ac:dyDescent="0.25">
      <c r="A35" s="53">
        <f t="shared" si="5"/>
        <v>20</v>
      </c>
      <c r="B35" s="47" t="s">
        <v>929</v>
      </c>
      <c r="C35" s="54" t="s">
        <v>23</v>
      </c>
      <c r="D35" s="55">
        <v>10</v>
      </c>
      <c r="E35" s="56">
        <v>220</v>
      </c>
      <c r="F35" s="56">
        <f t="shared" si="0"/>
        <v>2200</v>
      </c>
      <c r="G35" s="56">
        <f t="shared" si="6"/>
        <v>374</v>
      </c>
      <c r="H35" s="57">
        <f t="shared" si="7"/>
        <v>257.39999999999998</v>
      </c>
      <c r="I35" s="56">
        <f t="shared" si="1"/>
        <v>2574</v>
      </c>
      <c r="J35" s="58"/>
      <c r="M35" s="21">
        <f t="shared" si="2"/>
        <v>448.8</v>
      </c>
      <c r="N35" s="66">
        <f t="shared" si="9"/>
        <v>0</v>
      </c>
      <c r="O35" s="21">
        <f t="shared" si="3"/>
        <v>0</v>
      </c>
    </row>
    <row r="36" spans="1:18" s="21" customFormat="1" x14ac:dyDescent="0.25">
      <c r="A36" s="53">
        <f t="shared" si="5"/>
        <v>21</v>
      </c>
      <c r="B36" s="47" t="s">
        <v>697</v>
      </c>
      <c r="C36" s="54" t="s">
        <v>23</v>
      </c>
      <c r="D36" s="55">
        <v>30</v>
      </c>
      <c r="E36" s="56">
        <v>40</v>
      </c>
      <c r="F36" s="56">
        <f t="shared" si="0"/>
        <v>1200</v>
      </c>
      <c r="G36" s="56">
        <f t="shared" si="6"/>
        <v>204.00000000000003</v>
      </c>
      <c r="H36" s="57">
        <f t="shared" si="7"/>
        <v>46.8</v>
      </c>
      <c r="I36" s="56">
        <f t="shared" si="1"/>
        <v>1404</v>
      </c>
      <c r="J36" s="58"/>
      <c r="M36" s="21">
        <f t="shared" si="2"/>
        <v>448.8</v>
      </c>
      <c r="N36" s="66">
        <f t="shared" si="9"/>
        <v>0</v>
      </c>
      <c r="O36" s="21">
        <f t="shared" si="3"/>
        <v>0</v>
      </c>
    </row>
    <row r="37" spans="1:18" s="21" customFormat="1" ht="30" x14ac:dyDescent="0.25">
      <c r="A37" s="53">
        <f t="shared" si="5"/>
        <v>22</v>
      </c>
      <c r="B37" s="47" t="s">
        <v>698</v>
      </c>
      <c r="C37" s="54" t="s">
        <v>76</v>
      </c>
      <c r="D37" s="55">
        <v>5</v>
      </c>
      <c r="E37" s="56">
        <v>90</v>
      </c>
      <c r="F37" s="56">
        <f t="shared" si="0"/>
        <v>450</v>
      </c>
      <c r="G37" s="56">
        <f t="shared" si="6"/>
        <v>76.5</v>
      </c>
      <c r="H37" s="57">
        <f t="shared" si="7"/>
        <v>105.3</v>
      </c>
      <c r="I37" s="56">
        <f t="shared" si="1"/>
        <v>526.5</v>
      </c>
      <c r="J37" s="58"/>
      <c r="M37" s="21">
        <f t="shared" si="2"/>
        <v>448.8</v>
      </c>
      <c r="N37" s="66">
        <f>M37-M41</f>
        <v>0</v>
      </c>
      <c r="O37" s="21">
        <f t="shared" si="3"/>
        <v>0</v>
      </c>
    </row>
    <row r="38" spans="1:18" s="21" customFormat="1" x14ac:dyDescent="0.25">
      <c r="A38" s="53">
        <f t="shared" si="5"/>
        <v>23</v>
      </c>
      <c r="B38" s="47" t="s">
        <v>699</v>
      </c>
      <c r="C38" s="54" t="s">
        <v>165</v>
      </c>
      <c r="D38" s="55">
        <v>2</v>
      </c>
      <c r="E38" s="56">
        <v>480</v>
      </c>
      <c r="F38" s="56">
        <f t="shared" si="0"/>
        <v>960</v>
      </c>
      <c r="G38" s="56">
        <f t="shared" si="6"/>
        <v>163.20000000000002</v>
      </c>
      <c r="H38" s="57">
        <f t="shared" si="7"/>
        <v>561.59999999999991</v>
      </c>
      <c r="I38" s="56">
        <f t="shared" si="1"/>
        <v>1123.1999999999998</v>
      </c>
      <c r="J38" s="58"/>
      <c r="M38" s="21">
        <f t="shared" si="2"/>
        <v>448.8</v>
      </c>
      <c r="N38" s="66">
        <f>M38-M39</f>
        <v>0</v>
      </c>
      <c r="O38" s="21">
        <f t="shared" si="3"/>
        <v>0</v>
      </c>
    </row>
    <row r="39" spans="1:18" s="21" customFormat="1" x14ac:dyDescent="0.25">
      <c r="A39" s="53">
        <f t="shared" si="5"/>
        <v>24</v>
      </c>
      <c r="B39" s="47" t="s">
        <v>175</v>
      </c>
      <c r="C39" s="54" t="s">
        <v>23</v>
      </c>
      <c r="D39" s="55">
        <v>1</v>
      </c>
      <c r="E39" s="56">
        <v>220</v>
      </c>
      <c r="F39" s="56">
        <f t="shared" si="0"/>
        <v>220</v>
      </c>
      <c r="G39" s="56">
        <f t="shared" si="6"/>
        <v>37.400000000000006</v>
      </c>
      <c r="H39" s="57">
        <f t="shared" si="7"/>
        <v>257.39999999999998</v>
      </c>
      <c r="I39" s="56">
        <f t="shared" si="1"/>
        <v>257.39999999999998</v>
      </c>
      <c r="J39" s="58"/>
      <c r="M39" s="21">
        <f t="shared" si="2"/>
        <v>448.8</v>
      </c>
      <c r="N39" s="66">
        <f>M39-M40</f>
        <v>0</v>
      </c>
      <c r="O39" s="21">
        <f t="shared" si="3"/>
        <v>0</v>
      </c>
    </row>
    <row r="40" spans="1:18" s="21" customFormat="1" x14ac:dyDescent="0.25">
      <c r="A40" s="53">
        <f t="shared" si="5"/>
        <v>25</v>
      </c>
      <c r="B40" s="47" t="s">
        <v>702</v>
      </c>
      <c r="C40" s="54" t="s">
        <v>165</v>
      </c>
      <c r="D40" s="55">
        <v>2</v>
      </c>
      <c r="E40" s="56">
        <v>320</v>
      </c>
      <c r="F40" s="56">
        <f t="shared" si="0"/>
        <v>640</v>
      </c>
      <c r="G40" s="56">
        <f t="shared" si="6"/>
        <v>108.80000000000001</v>
      </c>
      <c r="H40" s="57">
        <f t="shared" si="7"/>
        <v>374.4</v>
      </c>
      <c r="I40" s="56">
        <f t="shared" si="1"/>
        <v>748.8</v>
      </c>
      <c r="J40" s="58"/>
      <c r="M40" s="21">
        <f t="shared" si="2"/>
        <v>448.8</v>
      </c>
      <c r="N40" s="66">
        <f>M40-M41</f>
        <v>0</v>
      </c>
      <c r="O40" s="21">
        <f t="shared" si="3"/>
        <v>0</v>
      </c>
    </row>
    <row r="41" spans="1:18" s="21" customFormat="1" x14ac:dyDescent="0.25">
      <c r="A41" s="53">
        <f t="shared" si="5"/>
        <v>26</v>
      </c>
      <c r="B41" s="47" t="s">
        <v>703</v>
      </c>
      <c r="C41" s="54" t="s">
        <v>76</v>
      </c>
      <c r="D41" s="55">
        <v>1</v>
      </c>
      <c r="E41" s="56">
        <v>180</v>
      </c>
      <c r="F41" s="56">
        <f t="shared" si="0"/>
        <v>180</v>
      </c>
      <c r="G41" s="56">
        <f t="shared" si="6"/>
        <v>30.6</v>
      </c>
      <c r="H41" s="57">
        <f t="shared" si="7"/>
        <v>210.6</v>
      </c>
      <c r="I41" s="56">
        <f t="shared" si="1"/>
        <v>210.6</v>
      </c>
      <c r="J41" s="58"/>
      <c r="M41" s="21">
        <f t="shared" si="2"/>
        <v>448.8</v>
      </c>
      <c r="N41" s="66">
        <f>M41-M42</f>
        <v>0</v>
      </c>
      <c r="O41" s="21">
        <f t="shared" si="3"/>
        <v>0</v>
      </c>
    </row>
    <row r="42" spans="1:18" s="21" customFormat="1" x14ac:dyDescent="0.25">
      <c r="A42" s="53">
        <f t="shared" si="5"/>
        <v>27</v>
      </c>
      <c r="B42" s="47" t="s">
        <v>930</v>
      </c>
      <c r="C42" s="54" t="s">
        <v>23</v>
      </c>
      <c r="D42" s="55">
        <v>5</v>
      </c>
      <c r="E42" s="56">
        <v>40</v>
      </c>
      <c r="F42" s="56">
        <f t="shared" si="0"/>
        <v>200</v>
      </c>
      <c r="G42" s="56">
        <f t="shared" si="6"/>
        <v>34</v>
      </c>
      <c r="H42" s="57">
        <f t="shared" si="7"/>
        <v>46.8</v>
      </c>
      <c r="I42" s="56">
        <f t="shared" si="1"/>
        <v>234</v>
      </c>
      <c r="J42" s="58"/>
      <c r="M42" s="21">
        <f t="shared" si="2"/>
        <v>448.8</v>
      </c>
      <c r="N42" s="66" t="e">
        <f>M42-#REF!</f>
        <v>#REF!</v>
      </c>
      <c r="O42" s="21" t="e">
        <f t="shared" si="3"/>
        <v>#REF!</v>
      </c>
    </row>
    <row r="43" spans="1:18" ht="15.75" thickBot="1" x14ac:dyDescent="0.3">
      <c r="A43" s="33"/>
      <c r="B43" s="34" t="s">
        <v>24</v>
      </c>
      <c r="C43" s="35"/>
      <c r="D43" s="62">
        <f>SUM(D16:D42)</f>
        <v>183</v>
      </c>
      <c r="E43" s="35"/>
      <c r="F43" s="62">
        <f>SUM(F16:F42)</f>
        <v>15185</v>
      </c>
      <c r="G43" s="62">
        <f>SUM(G16:G42)</f>
        <v>2267.63</v>
      </c>
      <c r="H43" s="35"/>
      <c r="I43" s="62">
        <f>SUM(I16:I42)</f>
        <v>17452.629999999997</v>
      </c>
      <c r="J43" s="37"/>
      <c r="M43" t="e">
        <f>#REF!/117*100</f>
        <v>#REF!</v>
      </c>
      <c r="O43" t="e">
        <f>M43*1.1</f>
        <v>#REF!</v>
      </c>
    </row>
    <row r="44" spans="1:18" ht="15.75" thickTop="1" x14ac:dyDescent="0.25">
      <c r="A44" s="33"/>
      <c r="B44" s="34" t="s">
        <v>933</v>
      </c>
      <c r="C44" s="35"/>
      <c r="D44" s="35"/>
      <c r="E44" s="35"/>
      <c r="F44" s="35"/>
      <c r="G44" s="35"/>
      <c r="H44" s="35"/>
      <c r="I44" s="35"/>
      <c r="J44" s="37"/>
    </row>
    <row r="45" spans="1:18" x14ac:dyDescent="0.25">
      <c r="A45" s="33"/>
      <c r="B45" s="38" t="s">
        <v>25</v>
      </c>
      <c r="C45" s="35"/>
      <c r="D45" s="35"/>
      <c r="E45" s="35"/>
      <c r="F45" s="35"/>
      <c r="G45" s="35"/>
      <c r="H45" s="35"/>
      <c r="I45" s="35"/>
      <c r="J45" s="37"/>
      <c r="M45" s="64" t="e">
        <f>M43*#REF!</f>
        <v>#REF!</v>
      </c>
      <c r="O45" s="65" t="e">
        <f>#REF!</f>
        <v>#REF!</v>
      </c>
      <c r="P45" s="64" t="e">
        <f>O45-M45</f>
        <v>#REF!</v>
      </c>
      <c r="Q45" s="64" t="e">
        <f>#REF!*0.045</f>
        <v>#REF!</v>
      </c>
      <c r="R45" s="64" t="e">
        <f>P45-Q45</f>
        <v>#REF!</v>
      </c>
    </row>
    <row r="46" spans="1:18" ht="30" customHeight="1" x14ac:dyDescent="0.25">
      <c r="B46" s="183" t="s">
        <v>26</v>
      </c>
      <c r="C46" s="183"/>
      <c r="D46" s="183"/>
      <c r="E46" s="183"/>
      <c r="F46" s="183"/>
      <c r="G46" s="183"/>
      <c r="H46" s="183"/>
      <c r="I46" s="183"/>
      <c r="J46" s="183"/>
      <c r="P46" s="64"/>
      <c r="R46" s="65" t="e">
        <f>#REF!-#REF!</f>
        <v>#REF!</v>
      </c>
    </row>
    <row r="47" spans="1:18" x14ac:dyDescent="0.25">
      <c r="B47" t="s">
        <v>27</v>
      </c>
    </row>
    <row r="50" spans="2:8" x14ac:dyDescent="0.25">
      <c r="B50" t="s">
        <v>28</v>
      </c>
      <c r="H50" t="s">
        <v>28</v>
      </c>
    </row>
    <row r="51" spans="2:8" x14ac:dyDescent="0.25">
      <c r="B51" t="s">
        <v>29</v>
      </c>
      <c r="H51" t="s">
        <v>30</v>
      </c>
    </row>
  </sheetData>
  <autoFilter ref="A15:J47" xr:uid="{00000000-0009-0000-0000-000005000000}"/>
  <mergeCells count="5">
    <mergeCell ref="A6:J6"/>
    <mergeCell ref="I7:J7"/>
    <mergeCell ref="I8:J8"/>
    <mergeCell ref="I9:J9"/>
    <mergeCell ref="B46:J46"/>
  </mergeCells>
  <hyperlinks>
    <hyperlink ref="H5" r:id="rId1" xr:uid="{3EAA49FB-DBB6-4A8B-8A59-F630A2D08335}"/>
  </hyperlinks>
  <pageMargins left="0.2" right="0.1" top="0.25" bottom="0.25" header="0.3" footer="0.3"/>
  <pageSetup paperSize="9" orientation="portrait" r:id="rId2"/>
  <drawing r:id="rId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F6CBC-9DAC-4075-9EEB-152D1FACE40A}">
  <dimension ref="A1:R31"/>
  <sheetViews>
    <sheetView workbookViewId="0">
      <selection activeCell="A11" sqref="A1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910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911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601</v>
      </c>
      <c r="D10" s="10"/>
      <c r="E10" s="10"/>
      <c r="F10" s="10"/>
    </row>
    <row r="11" spans="1:15" x14ac:dyDescent="0.25">
      <c r="B11" t="s">
        <v>11</v>
      </c>
      <c r="C11" s="10" t="s">
        <v>736</v>
      </c>
      <c r="D11" s="11"/>
      <c r="E11" s="11"/>
      <c r="F11" s="11"/>
    </row>
    <row r="12" spans="1:15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5" ht="5.0999999999999996" customHeight="1" thickBot="1" x14ac:dyDescent="0.3">
      <c r="C14" s="14"/>
    </row>
    <row r="15" spans="1:15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  <c r="M15" s="21" t="s">
        <v>738</v>
      </c>
    </row>
    <row r="16" spans="1:15" s="21" customFormat="1" x14ac:dyDescent="0.25">
      <c r="A16" s="53">
        <v>1</v>
      </c>
      <c r="B16" s="47" t="s">
        <v>912</v>
      </c>
      <c r="C16" s="54" t="s">
        <v>23</v>
      </c>
      <c r="D16" s="55">
        <v>1</v>
      </c>
      <c r="E16" s="56">
        <v>2450</v>
      </c>
      <c r="F16" s="56">
        <f t="shared" ref="F16:F22" si="0">D16*E16</f>
        <v>2450</v>
      </c>
      <c r="G16" s="56">
        <f>F16*0.17</f>
        <v>416.50000000000006</v>
      </c>
      <c r="H16" s="57">
        <f>E16*1.17</f>
        <v>2866.5</v>
      </c>
      <c r="I16" s="56">
        <f t="shared" ref="I16:I22" si="1">H16*D16</f>
        <v>2866.5</v>
      </c>
      <c r="J16" s="58"/>
      <c r="M16" s="21">
        <f t="shared" ref="M16:M22" si="2">440*1.02</f>
        <v>448.8</v>
      </c>
      <c r="N16" s="66">
        <f>M16-M20</f>
        <v>0</v>
      </c>
      <c r="O16" s="21">
        <f t="shared" ref="O16:O22" si="3">N16*D16</f>
        <v>0</v>
      </c>
    </row>
    <row r="17" spans="1:18" s="21" customFormat="1" x14ac:dyDescent="0.25">
      <c r="A17" s="53">
        <v>2</v>
      </c>
      <c r="B17" s="47" t="s">
        <v>913</v>
      </c>
      <c r="C17" s="54" t="s">
        <v>23</v>
      </c>
      <c r="D17" s="55">
        <v>1</v>
      </c>
      <c r="E17" s="56">
        <v>1050</v>
      </c>
      <c r="F17" s="56">
        <f t="shared" si="0"/>
        <v>1050</v>
      </c>
      <c r="G17" s="56">
        <f>F17*0.17</f>
        <v>178.5</v>
      </c>
      <c r="H17" s="57">
        <f>E17*1.17</f>
        <v>1228.5</v>
      </c>
      <c r="I17" s="56">
        <f t="shared" si="1"/>
        <v>1228.5</v>
      </c>
      <c r="J17" s="58"/>
      <c r="M17" s="21">
        <f t="shared" si="2"/>
        <v>448.8</v>
      </c>
      <c r="N17" s="66">
        <f t="shared" ref="N17:N22" si="4">M17-M18</f>
        <v>0</v>
      </c>
      <c r="O17" s="21">
        <f t="shared" si="3"/>
        <v>0</v>
      </c>
    </row>
    <row r="18" spans="1:18" s="21" customFormat="1" ht="30" x14ac:dyDescent="0.25">
      <c r="A18" s="53">
        <v>3</v>
      </c>
      <c r="B18" s="47" t="s">
        <v>914</v>
      </c>
      <c r="C18" s="54" t="s">
        <v>23</v>
      </c>
      <c r="D18" s="55">
        <v>3</v>
      </c>
      <c r="E18" s="56">
        <v>35</v>
      </c>
      <c r="F18" s="56">
        <f t="shared" si="0"/>
        <v>105</v>
      </c>
      <c r="G18" s="56">
        <f>F18*0</f>
        <v>0</v>
      </c>
      <c r="H18" s="57">
        <f>E18*1</f>
        <v>35</v>
      </c>
      <c r="I18" s="56">
        <f t="shared" si="1"/>
        <v>105</v>
      </c>
      <c r="J18" s="58"/>
      <c r="M18" s="21">
        <f t="shared" si="2"/>
        <v>448.8</v>
      </c>
      <c r="N18" s="66">
        <f t="shared" si="4"/>
        <v>0</v>
      </c>
      <c r="O18" s="21">
        <f t="shared" si="3"/>
        <v>0</v>
      </c>
    </row>
    <row r="19" spans="1:18" s="21" customFormat="1" ht="30" x14ac:dyDescent="0.25">
      <c r="A19" s="53">
        <v>4</v>
      </c>
      <c r="B19" s="47" t="s">
        <v>915</v>
      </c>
      <c r="C19" s="54" t="s">
        <v>23</v>
      </c>
      <c r="D19" s="55">
        <v>3</v>
      </c>
      <c r="E19" s="56">
        <v>35</v>
      </c>
      <c r="F19" s="56">
        <f t="shared" si="0"/>
        <v>105</v>
      </c>
      <c r="G19" s="56">
        <f>F19*0</f>
        <v>0</v>
      </c>
      <c r="H19" s="57">
        <f>E19*1</f>
        <v>35</v>
      </c>
      <c r="I19" s="56">
        <f t="shared" si="1"/>
        <v>105</v>
      </c>
      <c r="J19" s="58"/>
      <c r="M19" s="21">
        <f t="shared" si="2"/>
        <v>448.8</v>
      </c>
      <c r="N19" s="66">
        <f t="shared" si="4"/>
        <v>0</v>
      </c>
      <c r="O19" s="21">
        <f t="shared" si="3"/>
        <v>0</v>
      </c>
    </row>
    <row r="20" spans="1:18" s="21" customFormat="1" ht="30" x14ac:dyDescent="0.25">
      <c r="A20" s="53">
        <v>5</v>
      </c>
      <c r="B20" s="47" t="s">
        <v>916</v>
      </c>
      <c r="C20" s="54" t="s">
        <v>23</v>
      </c>
      <c r="D20" s="55">
        <v>3</v>
      </c>
      <c r="E20" s="56">
        <v>35</v>
      </c>
      <c r="F20" s="56">
        <f t="shared" si="0"/>
        <v>105</v>
      </c>
      <c r="G20" s="56">
        <f>F20*0</f>
        <v>0</v>
      </c>
      <c r="H20" s="57">
        <f>E20*1</f>
        <v>35</v>
      </c>
      <c r="I20" s="56">
        <f t="shared" si="1"/>
        <v>105</v>
      </c>
      <c r="J20" s="58"/>
      <c r="M20" s="21">
        <f t="shared" si="2"/>
        <v>448.8</v>
      </c>
      <c r="N20" s="66">
        <f t="shared" si="4"/>
        <v>0</v>
      </c>
      <c r="O20" s="21">
        <f t="shared" si="3"/>
        <v>0</v>
      </c>
    </row>
    <row r="21" spans="1:18" s="21" customFormat="1" ht="30" x14ac:dyDescent="0.25">
      <c r="A21" s="53">
        <v>6</v>
      </c>
      <c r="B21" s="47" t="s">
        <v>917</v>
      </c>
      <c r="C21" s="54" t="s">
        <v>23</v>
      </c>
      <c r="D21" s="55">
        <v>3</v>
      </c>
      <c r="E21" s="56">
        <v>35</v>
      </c>
      <c r="F21" s="56">
        <f t="shared" si="0"/>
        <v>105</v>
      </c>
      <c r="G21" s="56">
        <f>F21*0</f>
        <v>0</v>
      </c>
      <c r="H21" s="57">
        <f>E21*1</f>
        <v>35</v>
      </c>
      <c r="I21" s="56">
        <f t="shared" si="1"/>
        <v>105</v>
      </c>
      <c r="J21" s="58"/>
      <c r="M21" s="21">
        <f t="shared" si="2"/>
        <v>448.8</v>
      </c>
      <c r="N21" s="66">
        <f t="shared" si="4"/>
        <v>0</v>
      </c>
      <c r="O21" s="21">
        <f t="shared" si="3"/>
        <v>0</v>
      </c>
    </row>
    <row r="22" spans="1:18" s="21" customFormat="1" x14ac:dyDescent="0.25">
      <c r="A22" s="53">
        <v>7</v>
      </c>
      <c r="B22" s="47" t="s">
        <v>918</v>
      </c>
      <c r="C22" s="54" t="s">
        <v>23</v>
      </c>
      <c r="D22" s="55">
        <v>2</v>
      </c>
      <c r="E22" s="56">
        <v>30</v>
      </c>
      <c r="F22" s="56">
        <f t="shared" si="0"/>
        <v>60</v>
      </c>
      <c r="G22" s="56">
        <f>F22*0.17</f>
        <v>10.200000000000001</v>
      </c>
      <c r="H22" s="57">
        <f>E22*1.17</f>
        <v>35.099999999999994</v>
      </c>
      <c r="I22" s="56">
        <f t="shared" si="1"/>
        <v>70.199999999999989</v>
      </c>
      <c r="J22" s="58"/>
      <c r="M22" s="21">
        <f t="shared" si="2"/>
        <v>448.8</v>
      </c>
      <c r="N22" s="66">
        <f t="shared" si="4"/>
        <v>65.21025641025642</v>
      </c>
      <c r="O22" s="21">
        <f t="shared" si="3"/>
        <v>130.42051282051284</v>
      </c>
    </row>
    <row r="23" spans="1:18" ht="15.75" thickBot="1" x14ac:dyDescent="0.3">
      <c r="A23" s="33"/>
      <c r="B23" s="34" t="s">
        <v>24</v>
      </c>
      <c r="C23" s="35"/>
      <c r="D23" s="62">
        <f>SUM(D16:D22)</f>
        <v>16</v>
      </c>
      <c r="E23" s="35"/>
      <c r="F23" s="62">
        <f>SUM(F16:F22)</f>
        <v>3980</v>
      </c>
      <c r="G23" s="62">
        <f>SUM(G16:G22)</f>
        <v>605.20000000000005</v>
      </c>
      <c r="H23" s="35"/>
      <c r="I23" s="62">
        <f>SUM(I16:I22)</f>
        <v>4585.2</v>
      </c>
      <c r="J23" s="37"/>
      <c r="M23">
        <f>M22/117*100</f>
        <v>383.58974358974359</v>
      </c>
      <c r="O23">
        <f>M23*1.1</f>
        <v>421.94871794871796</v>
      </c>
    </row>
    <row r="24" spans="1:18" ht="15.75" thickTop="1" x14ac:dyDescent="0.25">
      <c r="A24" s="33"/>
      <c r="B24" s="34" t="s">
        <v>919</v>
      </c>
      <c r="C24" s="35"/>
      <c r="D24" s="35"/>
      <c r="E24" s="35"/>
      <c r="F24" s="35"/>
      <c r="G24" s="35"/>
      <c r="H24" s="35"/>
      <c r="I24" s="35"/>
      <c r="J24" s="37"/>
    </row>
    <row r="25" spans="1:18" x14ac:dyDescent="0.25">
      <c r="A25" s="33"/>
      <c r="B25" s="38" t="s">
        <v>25</v>
      </c>
      <c r="C25" s="35"/>
      <c r="D25" s="35"/>
      <c r="E25" s="35"/>
      <c r="F25" s="35"/>
      <c r="G25" s="35"/>
      <c r="H25" s="35"/>
      <c r="I25" s="35"/>
      <c r="J25" s="37"/>
      <c r="M25" s="64">
        <f>M23*D22</f>
        <v>767.17948717948718</v>
      </c>
      <c r="O25" s="65">
        <f>F22</f>
        <v>60</v>
      </c>
      <c r="P25" s="64">
        <f>O25-M25</f>
        <v>-707.17948717948718</v>
      </c>
      <c r="Q25" s="64">
        <f>I22*0.045</f>
        <v>3.1589999999999994</v>
      </c>
      <c r="R25" s="64">
        <f>P25-Q25</f>
        <v>-710.33848717948717</v>
      </c>
    </row>
    <row r="26" spans="1:18" ht="30" customHeight="1" x14ac:dyDescent="0.25">
      <c r="B26" s="183" t="s">
        <v>26</v>
      </c>
      <c r="C26" s="183"/>
      <c r="D26" s="183"/>
      <c r="E26" s="183"/>
      <c r="F26" s="183"/>
      <c r="G26" s="183"/>
      <c r="H26" s="183"/>
      <c r="I26" s="183"/>
      <c r="J26" s="183"/>
      <c r="P26" s="64"/>
      <c r="R26" s="65">
        <f>G22-O22</f>
        <v>-120.22051282051284</v>
      </c>
    </row>
    <row r="27" spans="1:18" x14ac:dyDescent="0.25">
      <c r="B27" t="s">
        <v>27</v>
      </c>
    </row>
    <row r="30" spans="1:18" x14ac:dyDescent="0.25">
      <c r="B30" t="s">
        <v>28</v>
      </c>
      <c r="H30" t="s">
        <v>28</v>
      </c>
    </row>
    <row r="31" spans="1:18" x14ac:dyDescent="0.25">
      <c r="B31" t="s">
        <v>29</v>
      </c>
      <c r="H31" t="s">
        <v>30</v>
      </c>
    </row>
  </sheetData>
  <autoFilter ref="A15:J27" xr:uid="{00000000-0009-0000-0000-000005000000}"/>
  <mergeCells count="5">
    <mergeCell ref="A6:J6"/>
    <mergeCell ref="I7:J7"/>
    <mergeCell ref="I8:J8"/>
    <mergeCell ref="I9:J9"/>
    <mergeCell ref="B26:J26"/>
  </mergeCells>
  <hyperlinks>
    <hyperlink ref="H5" r:id="rId1" xr:uid="{C79B8658-EC03-4ED2-A822-D1410401E043}"/>
  </hyperlinks>
  <pageMargins left="0.2" right="0.1" top="0.25" bottom="0.25" header="0.3" footer="0.3"/>
  <pageSetup paperSize="9" orientation="portrait" r:id="rId2"/>
  <drawing r:id="rId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79104-A3B4-4B8A-ABA3-6617DF2DD876}">
  <dimension ref="A1:J34"/>
  <sheetViews>
    <sheetView workbookViewId="0">
      <selection activeCell="F16" sqref="F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909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898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899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377</v>
      </c>
      <c r="C16" s="54" t="s">
        <v>23</v>
      </c>
      <c r="D16" s="55">
        <v>500</v>
      </c>
      <c r="E16" s="56">
        <v>90</v>
      </c>
      <c r="F16" s="56">
        <f t="shared" ref="F16:F20" si="0">D16*E16</f>
        <v>45000</v>
      </c>
      <c r="G16" s="56">
        <f>F16*0.17</f>
        <v>7650.0000000000009</v>
      </c>
      <c r="H16" s="57">
        <f>E16*1.17</f>
        <v>105.3</v>
      </c>
      <c r="I16" s="56">
        <f t="shared" ref="I16:I20" si="1">H16*D16</f>
        <v>52650</v>
      </c>
      <c r="J16" s="58"/>
    </row>
    <row r="17" spans="1:10" s="21" customFormat="1" x14ac:dyDescent="0.25">
      <c r="A17" s="53">
        <v>2</v>
      </c>
      <c r="B17" s="47" t="s">
        <v>900</v>
      </c>
      <c r="C17" s="54" t="s">
        <v>23</v>
      </c>
      <c r="D17" s="55">
        <v>500</v>
      </c>
      <c r="E17" s="56">
        <v>38</v>
      </c>
      <c r="F17" s="56">
        <f t="shared" si="0"/>
        <v>19000</v>
      </c>
      <c r="G17" s="56">
        <f>F17*0</f>
        <v>0</v>
      </c>
      <c r="H17" s="57">
        <f>E17*1</f>
        <v>38</v>
      </c>
      <c r="I17" s="56">
        <f t="shared" si="1"/>
        <v>19000</v>
      </c>
      <c r="J17" s="58"/>
    </row>
    <row r="18" spans="1:10" s="21" customFormat="1" x14ac:dyDescent="0.25">
      <c r="A18" s="53">
        <v>3</v>
      </c>
      <c r="B18" s="47" t="s">
        <v>901</v>
      </c>
      <c r="C18" s="54" t="s">
        <v>23</v>
      </c>
      <c r="D18" s="55">
        <v>2000</v>
      </c>
      <c r="E18" s="56">
        <v>9</v>
      </c>
      <c r="F18" s="56">
        <f t="shared" si="0"/>
        <v>18000</v>
      </c>
      <c r="G18" s="56">
        <f>F18*0</f>
        <v>0</v>
      </c>
      <c r="H18" s="57">
        <f>E18*1</f>
        <v>9</v>
      </c>
      <c r="I18" s="56">
        <f t="shared" si="1"/>
        <v>18000</v>
      </c>
      <c r="J18" s="58"/>
    </row>
    <row r="19" spans="1:10" s="21" customFormat="1" x14ac:dyDescent="0.25">
      <c r="A19" s="53">
        <v>4</v>
      </c>
      <c r="B19" s="47" t="s">
        <v>902</v>
      </c>
      <c r="C19" s="54" t="s">
        <v>23</v>
      </c>
      <c r="D19" s="55">
        <v>200</v>
      </c>
      <c r="E19" s="56">
        <v>160</v>
      </c>
      <c r="F19" s="56">
        <f t="shared" si="0"/>
        <v>32000</v>
      </c>
      <c r="G19" s="56">
        <f>F19*0.17</f>
        <v>5440</v>
      </c>
      <c r="H19" s="57">
        <f>E19*1.17</f>
        <v>187.2</v>
      </c>
      <c r="I19" s="56">
        <f t="shared" si="1"/>
        <v>37440</v>
      </c>
      <c r="J19" s="58"/>
    </row>
    <row r="20" spans="1:10" s="21" customFormat="1" x14ac:dyDescent="0.25">
      <c r="A20" s="53">
        <v>5</v>
      </c>
      <c r="B20" s="47" t="s">
        <v>881</v>
      </c>
      <c r="C20" s="54" t="s">
        <v>23</v>
      </c>
      <c r="D20" s="55">
        <v>500</v>
      </c>
      <c r="E20" s="56">
        <v>35</v>
      </c>
      <c r="F20" s="56">
        <f t="shared" si="0"/>
        <v>17500</v>
      </c>
      <c r="G20" s="56">
        <f>F20*0.17</f>
        <v>2975</v>
      </c>
      <c r="H20" s="57">
        <f>E20*1.17</f>
        <v>40.949999999999996</v>
      </c>
      <c r="I20" s="56">
        <f t="shared" si="1"/>
        <v>20474.999999999996</v>
      </c>
      <c r="J20" s="58"/>
    </row>
    <row r="21" spans="1:10" s="21" customFormat="1" x14ac:dyDescent="0.25">
      <c r="A21" s="53">
        <v>6</v>
      </c>
      <c r="B21" s="47" t="s">
        <v>903</v>
      </c>
      <c r="C21" s="54" t="s">
        <v>23</v>
      </c>
      <c r="D21" s="55">
        <v>300</v>
      </c>
      <c r="E21" s="56">
        <v>9</v>
      </c>
      <c r="F21" s="56">
        <f t="shared" ref="F21:F24" si="2">D21*E21</f>
        <v>2700</v>
      </c>
      <c r="G21" s="56">
        <f>F21*0</f>
        <v>0</v>
      </c>
      <c r="H21" s="57">
        <f>E21*1</f>
        <v>9</v>
      </c>
      <c r="I21" s="56">
        <f t="shared" ref="I21:I24" si="3">H21*D21</f>
        <v>2700</v>
      </c>
      <c r="J21" s="58"/>
    </row>
    <row r="22" spans="1:10" s="21" customFormat="1" x14ac:dyDescent="0.25">
      <c r="A22" s="53">
        <v>7</v>
      </c>
      <c r="B22" s="47" t="s">
        <v>904</v>
      </c>
      <c r="C22" s="54" t="s">
        <v>23</v>
      </c>
      <c r="D22" s="55">
        <v>1</v>
      </c>
      <c r="E22" s="56">
        <v>850</v>
      </c>
      <c r="F22" s="56">
        <f t="shared" ref="F22:F23" si="4">D22*E22</f>
        <v>850</v>
      </c>
      <c r="G22" s="56">
        <f>F22*0.17</f>
        <v>144.5</v>
      </c>
      <c r="H22" s="57">
        <f>E22*1.17</f>
        <v>994.49999999999989</v>
      </c>
      <c r="I22" s="56">
        <f t="shared" ref="I22:I23" si="5">H22*D22</f>
        <v>994.49999999999989</v>
      </c>
      <c r="J22" s="58"/>
    </row>
    <row r="23" spans="1:10" s="21" customFormat="1" x14ac:dyDescent="0.25">
      <c r="A23" s="53">
        <v>8</v>
      </c>
      <c r="B23" s="47" t="s">
        <v>905</v>
      </c>
      <c r="C23" s="54" t="s">
        <v>23</v>
      </c>
      <c r="D23" s="55">
        <v>300</v>
      </c>
      <c r="E23" s="56">
        <v>30</v>
      </c>
      <c r="F23" s="56">
        <f t="shared" si="4"/>
        <v>9000</v>
      </c>
      <c r="G23" s="56">
        <f>F23*0</f>
        <v>0</v>
      </c>
      <c r="H23" s="57">
        <f>E23*1</f>
        <v>30</v>
      </c>
      <c r="I23" s="56">
        <f t="shared" si="5"/>
        <v>9000</v>
      </c>
      <c r="J23" s="58"/>
    </row>
    <row r="24" spans="1:10" s="21" customFormat="1" x14ac:dyDescent="0.25">
      <c r="A24" s="53">
        <v>9</v>
      </c>
      <c r="B24" s="47" t="s">
        <v>906</v>
      </c>
      <c r="C24" s="54" t="s">
        <v>23</v>
      </c>
      <c r="D24" s="55">
        <v>50</v>
      </c>
      <c r="E24" s="56">
        <v>350</v>
      </c>
      <c r="F24" s="56">
        <f t="shared" si="2"/>
        <v>17500</v>
      </c>
      <c r="G24" s="56">
        <f>F24*0.17</f>
        <v>2975</v>
      </c>
      <c r="H24" s="57">
        <f>E24*1.17</f>
        <v>409.5</v>
      </c>
      <c r="I24" s="56">
        <f t="shared" si="3"/>
        <v>20475</v>
      </c>
      <c r="J24" s="58"/>
    </row>
    <row r="25" spans="1:10" s="21" customFormat="1" ht="30" x14ac:dyDescent="0.25">
      <c r="A25" s="53">
        <v>10</v>
      </c>
      <c r="B25" s="47" t="s">
        <v>907</v>
      </c>
      <c r="C25" s="54" t="s">
        <v>23</v>
      </c>
      <c r="D25" s="55">
        <v>300</v>
      </c>
      <c r="E25" s="56">
        <v>44</v>
      </c>
      <c r="F25" s="56">
        <f t="shared" ref="F25" si="6">D25*E25</f>
        <v>13200</v>
      </c>
      <c r="G25" s="56">
        <f>F25*0.17</f>
        <v>2244</v>
      </c>
      <c r="H25" s="57">
        <f>E25*1.17</f>
        <v>51.48</v>
      </c>
      <c r="I25" s="56">
        <f t="shared" ref="I25" si="7">H25*D25</f>
        <v>15443.999999999998</v>
      </c>
      <c r="J25" s="58"/>
    </row>
    <row r="26" spans="1:10" ht="15.75" thickBot="1" x14ac:dyDescent="0.3">
      <c r="A26" s="33"/>
      <c r="B26" s="34" t="s">
        <v>24</v>
      </c>
      <c r="C26" s="35"/>
      <c r="D26" s="62">
        <f>SUM(D16:D25)</f>
        <v>4651</v>
      </c>
      <c r="E26" s="35"/>
      <c r="F26" s="62">
        <f>SUM(F16:F25)</f>
        <v>174750</v>
      </c>
      <c r="G26" s="62">
        <f>SUM(G16:G25)</f>
        <v>21428.5</v>
      </c>
      <c r="H26" s="35"/>
      <c r="I26" s="62">
        <f>SUM(I16:I25)</f>
        <v>196178.5</v>
      </c>
      <c r="J26" s="37"/>
    </row>
    <row r="27" spans="1:10" ht="15.75" thickTop="1" x14ac:dyDescent="0.25">
      <c r="A27" s="33"/>
      <c r="B27" s="34" t="s">
        <v>908</v>
      </c>
      <c r="C27" s="35"/>
      <c r="D27" s="35"/>
      <c r="E27" s="35"/>
      <c r="F27" s="35"/>
      <c r="G27" s="35"/>
      <c r="H27" s="35"/>
      <c r="I27" s="35"/>
      <c r="J27" s="37"/>
    </row>
    <row r="28" spans="1:10" x14ac:dyDescent="0.25">
      <c r="A28" s="33"/>
      <c r="B28" s="38" t="s">
        <v>25</v>
      </c>
      <c r="C28" s="35"/>
      <c r="D28" s="35"/>
      <c r="E28" s="35"/>
      <c r="F28" s="35"/>
      <c r="G28" s="35"/>
      <c r="H28" s="35"/>
      <c r="I28" s="35"/>
      <c r="J28" s="37"/>
    </row>
    <row r="29" spans="1:10" ht="30" customHeight="1" x14ac:dyDescent="0.25">
      <c r="B29" s="183" t="s">
        <v>26</v>
      </c>
      <c r="C29" s="183"/>
      <c r="D29" s="183"/>
      <c r="E29" s="183"/>
      <c r="F29" s="183"/>
      <c r="G29" s="183"/>
      <c r="H29" s="183"/>
      <c r="I29" s="183"/>
      <c r="J29" s="183"/>
    </row>
    <row r="30" spans="1:10" x14ac:dyDescent="0.25">
      <c r="B30" t="s">
        <v>27</v>
      </c>
    </row>
    <row r="33" spans="2:8" x14ac:dyDescent="0.25">
      <c r="B33" t="s">
        <v>28</v>
      </c>
      <c r="H33" t="s">
        <v>28</v>
      </c>
    </row>
    <row r="34" spans="2:8" x14ac:dyDescent="0.25">
      <c r="B34" t="s">
        <v>29</v>
      </c>
      <c r="H34" t="s">
        <v>30</v>
      </c>
    </row>
  </sheetData>
  <autoFilter ref="A15:J30" xr:uid="{00000000-0009-0000-0000-000000000000}"/>
  <mergeCells count="5">
    <mergeCell ref="A6:J6"/>
    <mergeCell ref="I7:J7"/>
    <mergeCell ref="I8:J8"/>
    <mergeCell ref="I9:J9"/>
    <mergeCell ref="B29:J29"/>
  </mergeCells>
  <hyperlinks>
    <hyperlink ref="H5" r:id="rId1" xr:uid="{E2BC2FB9-A108-42DE-B4CD-FAB4DE2EB423}"/>
  </hyperlinks>
  <pageMargins left="0.2" right="0.1" top="0.25" bottom="0.25" header="0.3" footer="0.3"/>
  <pageSetup paperSize="9" orientation="portrait" r:id="rId2"/>
  <drawing r:id="rId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5538D-7D0A-43EB-80E6-F1832F889DF5}">
  <dimension ref="A1:J31"/>
  <sheetViews>
    <sheetView topLeftCell="A6" workbookViewId="0">
      <selection activeCell="C10" sqref="C10:C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8" width="8.28515625" style="64" customWidth="1"/>
    <col min="9" max="9" width="8.28515625" customWidth="1"/>
    <col min="10" max="10" width="12.7109375" customWidth="1"/>
  </cols>
  <sheetData>
    <row r="1" spans="1:10" x14ac:dyDescent="0.25">
      <c r="D1" s="1"/>
      <c r="E1" s="1"/>
      <c r="F1" s="1"/>
      <c r="H1" s="67" t="s">
        <v>0</v>
      </c>
    </row>
    <row r="2" spans="1:10" x14ac:dyDescent="0.25">
      <c r="D2" s="2"/>
      <c r="E2" s="2"/>
      <c r="F2" s="2"/>
      <c r="H2" s="68" t="s">
        <v>1</v>
      </c>
    </row>
    <row r="3" spans="1:10" x14ac:dyDescent="0.25">
      <c r="D3" s="2"/>
      <c r="E3" s="2"/>
      <c r="F3" s="2"/>
      <c r="H3" s="68" t="s">
        <v>2</v>
      </c>
    </row>
    <row r="4" spans="1:10" x14ac:dyDescent="0.25">
      <c r="D4" s="2"/>
      <c r="E4" s="2"/>
      <c r="F4" s="2"/>
      <c r="H4" s="68" t="s">
        <v>31</v>
      </c>
    </row>
    <row r="5" spans="1:10" ht="21" x14ac:dyDescent="0.35">
      <c r="B5" s="3"/>
      <c r="D5" s="4"/>
      <c r="E5" s="5"/>
      <c r="F5" s="5"/>
      <c r="H5" s="69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885</v>
      </c>
      <c r="B7" s="7"/>
      <c r="C7" s="7"/>
      <c r="D7" s="8"/>
      <c r="E7" s="8"/>
      <c r="F7" s="8"/>
      <c r="G7" s="8"/>
      <c r="H7" s="70" t="s">
        <v>4</v>
      </c>
      <c r="I7" s="186" t="s">
        <v>5</v>
      </c>
      <c r="J7" s="186"/>
    </row>
    <row r="8" spans="1:10" x14ac:dyDescent="0.25">
      <c r="A8" s="9" t="s">
        <v>886</v>
      </c>
      <c r="B8" s="7"/>
      <c r="C8" s="7"/>
      <c r="D8" s="8"/>
      <c r="E8" s="8"/>
      <c r="F8" s="8"/>
      <c r="G8" s="8"/>
      <c r="H8" s="70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70" t="s">
        <v>8</v>
      </c>
      <c r="I9" s="186" t="s">
        <v>887</v>
      </c>
      <c r="J9" s="186"/>
    </row>
    <row r="10" spans="1:10" x14ac:dyDescent="0.25">
      <c r="B10" t="s">
        <v>9</v>
      </c>
      <c r="C10" s="10" t="s">
        <v>754</v>
      </c>
      <c r="D10" s="10"/>
      <c r="E10" s="10"/>
      <c r="F10" s="10"/>
    </row>
    <row r="11" spans="1:10" x14ac:dyDescent="0.25">
      <c r="B11" t="s">
        <v>11</v>
      </c>
      <c r="C11" s="10" t="s">
        <v>755</v>
      </c>
      <c r="D11" s="11"/>
      <c r="E11" s="11"/>
      <c r="F11" s="11"/>
    </row>
    <row r="12" spans="1:10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71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888</v>
      </c>
      <c r="C16" s="24" t="s">
        <v>23</v>
      </c>
      <c r="D16" s="25">
        <v>5</v>
      </c>
      <c r="E16" s="26">
        <v>150</v>
      </c>
      <c r="F16" s="27">
        <f t="shared" ref="F16:F23" si="0">D16*E16</f>
        <v>750</v>
      </c>
      <c r="G16" s="27">
        <f>F16*0.17</f>
        <v>127.50000000000001</v>
      </c>
      <c r="H16" s="26">
        <f>E16*1.17</f>
        <v>175.5</v>
      </c>
      <c r="I16" s="27">
        <f t="shared" ref="I16:I23" si="1">H16*D16</f>
        <v>877.5</v>
      </c>
      <c r="J16" s="28"/>
    </row>
    <row r="17" spans="1:10" s="21" customFormat="1" x14ac:dyDescent="0.25">
      <c r="A17" s="22">
        <v>2</v>
      </c>
      <c r="B17" s="23" t="s">
        <v>889</v>
      </c>
      <c r="C17" s="24" t="s">
        <v>23</v>
      </c>
      <c r="D17" s="25">
        <v>30</v>
      </c>
      <c r="E17" s="26">
        <v>150</v>
      </c>
      <c r="F17" s="27">
        <f t="shared" si="0"/>
        <v>4500</v>
      </c>
      <c r="G17" s="27">
        <f t="shared" ref="G17:G22" si="2">F17*0.17</f>
        <v>765</v>
      </c>
      <c r="H17" s="26">
        <f t="shared" ref="H17:H22" si="3">E17*1.17</f>
        <v>175.5</v>
      </c>
      <c r="I17" s="27">
        <f t="shared" si="1"/>
        <v>5265</v>
      </c>
      <c r="J17" s="28"/>
    </row>
    <row r="18" spans="1:10" s="21" customFormat="1" x14ac:dyDescent="0.25">
      <c r="A18" s="22">
        <v>3</v>
      </c>
      <c r="B18" s="23" t="s">
        <v>890</v>
      </c>
      <c r="C18" s="24" t="s">
        <v>895</v>
      </c>
      <c r="D18" s="25">
        <v>60</v>
      </c>
      <c r="E18" s="26">
        <v>60</v>
      </c>
      <c r="F18" s="27">
        <f t="shared" si="0"/>
        <v>3600</v>
      </c>
      <c r="G18" s="27">
        <f t="shared" si="2"/>
        <v>612</v>
      </c>
      <c r="H18" s="26">
        <f t="shared" si="3"/>
        <v>70.199999999999989</v>
      </c>
      <c r="I18" s="27">
        <f t="shared" si="1"/>
        <v>4211.9999999999991</v>
      </c>
      <c r="J18" s="28"/>
    </row>
    <row r="19" spans="1:10" s="21" customFormat="1" x14ac:dyDescent="0.25">
      <c r="A19" s="22">
        <v>4</v>
      </c>
      <c r="B19" s="23" t="s">
        <v>891</v>
      </c>
      <c r="C19" s="24" t="s">
        <v>23</v>
      </c>
      <c r="D19" s="25">
        <v>6</v>
      </c>
      <c r="E19" s="26">
        <v>130</v>
      </c>
      <c r="F19" s="27">
        <f t="shared" ref="F19:F20" si="4">D19*E19</f>
        <v>780</v>
      </c>
      <c r="G19" s="27">
        <f t="shared" si="2"/>
        <v>132.60000000000002</v>
      </c>
      <c r="H19" s="26">
        <f t="shared" si="3"/>
        <v>152.1</v>
      </c>
      <c r="I19" s="27">
        <f t="shared" ref="I19:I20" si="5">H19*D19</f>
        <v>912.59999999999991</v>
      </c>
      <c r="J19" s="28"/>
    </row>
    <row r="20" spans="1:10" s="21" customFormat="1" x14ac:dyDescent="0.25">
      <c r="A20" s="22">
        <v>5</v>
      </c>
      <c r="B20" s="23" t="s">
        <v>892</v>
      </c>
      <c r="C20" s="24" t="s">
        <v>23</v>
      </c>
      <c r="D20" s="25">
        <v>8</v>
      </c>
      <c r="E20" s="26">
        <v>100</v>
      </c>
      <c r="F20" s="27">
        <f t="shared" si="4"/>
        <v>800</v>
      </c>
      <c r="G20" s="27">
        <f t="shared" si="2"/>
        <v>136</v>
      </c>
      <c r="H20" s="26">
        <f t="shared" si="3"/>
        <v>117</v>
      </c>
      <c r="I20" s="27">
        <f t="shared" si="5"/>
        <v>936</v>
      </c>
      <c r="J20" s="28"/>
    </row>
    <row r="21" spans="1:10" s="21" customFormat="1" ht="25.5" x14ac:dyDescent="0.25">
      <c r="A21" s="22">
        <v>6</v>
      </c>
      <c r="B21" s="23" t="s">
        <v>893</v>
      </c>
      <c r="C21" s="24" t="s">
        <v>23</v>
      </c>
      <c r="D21" s="25">
        <v>20</v>
      </c>
      <c r="E21" s="26">
        <v>100</v>
      </c>
      <c r="F21" s="27">
        <f t="shared" si="0"/>
        <v>2000</v>
      </c>
      <c r="G21" s="27">
        <f t="shared" si="2"/>
        <v>340</v>
      </c>
      <c r="H21" s="26">
        <f t="shared" si="3"/>
        <v>117</v>
      </c>
      <c r="I21" s="27">
        <f t="shared" si="1"/>
        <v>2340</v>
      </c>
      <c r="J21" s="28"/>
    </row>
    <row r="22" spans="1:10" s="21" customFormat="1" x14ac:dyDescent="0.25">
      <c r="A22" s="22">
        <v>7</v>
      </c>
      <c r="B22" s="23" t="s">
        <v>894</v>
      </c>
      <c r="C22" s="24" t="s">
        <v>192</v>
      </c>
      <c r="D22" s="25">
        <v>5</v>
      </c>
      <c r="E22" s="26">
        <v>120</v>
      </c>
      <c r="F22" s="27">
        <f t="shared" si="0"/>
        <v>600</v>
      </c>
      <c r="G22" s="27">
        <f t="shared" si="2"/>
        <v>102.00000000000001</v>
      </c>
      <c r="H22" s="26">
        <f t="shared" si="3"/>
        <v>140.39999999999998</v>
      </c>
      <c r="I22" s="27">
        <f t="shared" si="1"/>
        <v>701.99999999999989</v>
      </c>
      <c r="J22" s="28"/>
    </row>
    <row r="23" spans="1:10" s="21" customFormat="1" x14ac:dyDescent="0.25">
      <c r="A23" s="22"/>
      <c r="B23" s="23"/>
      <c r="C23" s="24"/>
      <c r="D23" s="25"/>
      <c r="E23" s="26"/>
      <c r="F23" s="27">
        <f t="shared" si="0"/>
        <v>0</v>
      </c>
      <c r="G23" s="27">
        <f>F23*0.17</f>
        <v>0</v>
      </c>
      <c r="H23" s="26">
        <f>E23*1.17</f>
        <v>0</v>
      </c>
      <c r="I23" s="27">
        <f t="shared" si="1"/>
        <v>0</v>
      </c>
      <c r="J23" s="28"/>
    </row>
    <row r="24" spans="1:10" ht="15.75" thickBot="1" x14ac:dyDescent="0.3">
      <c r="A24" s="33"/>
      <c r="B24" s="34" t="s">
        <v>24</v>
      </c>
      <c r="C24" s="35"/>
      <c r="D24" s="36">
        <f>SUM(D16:D23)</f>
        <v>134</v>
      </c>
      <c r="E24" s="35"/>
      <c r="F24" s="36">
        <f>SUM(F16:F23)</f>
        <v>13030</v>
      </c>
      <c r="G24" s="36">
        <f>SUM(G16:G23)</f>
        <v>2215.1</v>
      </c>
      <c r="H24" s="35"/>
      <c r="I24" s="36">
        <f>SUM(I16:I23)</f>
        <v>15245.1</v>
      </c>
      <c r="J24" s="37"/>
    </row>
    <row r="25" spans="1:10" ht="15.75" thickTop="1" x14ac:dyDescent="0.25">
      <c r="A25" s="33"/>
      <c r="B25" s="34" t="s">
        <v>896</v>
      </c>
      <c r="C25" s="35"/>
      <c r="D25" s="35"/>
      <c r="E25" s="35"/>
      <c r="F25" s="35"/>
      <c r="G25" s="35"/>
      <c r="H25" s="35"/>
      <c r="I25" s="35"/>
      <c r="J25" s="37"/>
    </row>
    <row r="26" spans="1:10" x14ac:dyDescent="0.25">
      <c r="A26" s="33"/>
      <c r="B26" s="38" t="s">
        <v>25</v>
      </c>
      <c r="C26" s="35"/>
      <c r="D26" s="35"/>
      <c r="E26" s="35"/>
      <c r="F26" s="35"/>
      <c r="G26" s="35"/>
      <c r="H26" s="35"/>
      <c r="I26" s="35"/>
      <c r="J26" s="37"/>
    </row>
    <row r="27" spans="1:10" ht="30" customHeight="1" x14ac:dyDescent="0.25">
      <c r="B27" s="183" t="s">
        <v>26</v>
      </c>
      <c r="C27" s="183"/>
      <c r="D27" s="183"/>
      <c r="E27" s="183"/>
      <c r="F27" s="183"/>
      <c r="G27" s="183"/>
      <c r="H27" s="183"/>
      <c r="I27" s="183"/>
      <c r="J27" s="183"/>
    </row>
    <row r="28" spans="1:10" x14ac:dyDescent="0.25">
      <c r="B28" t="s">
        <v>27</v>
      </c>
    </row>
    <row r="30" spans="1:10" x14ac:dyDescent="0.25">
      <c r="B30" t="s">
        <v>28</v>
      </c>
      <c r="H30" s="64" t="s">
        <v>28</v>
      </c>
    </row>
    <row r="31" spans="1:10" x14ac:dyDescent="0.25">
      <c r="B31" t="s">
        <v>29</v>
      </c>
      <c r="H31" s="64" t="s">
        <v>30</v>
      </c>
    </row>
  </sheetData>
  <mergeCells count="5">
    <mergeCell ref="A6:J6"/>
    <mergeCell ref="I7:J7"/>
    <mergeCell ref="I8:J8"/>
    <mergeCell ref="I9:J9"/>
    <mergeCell ref="B27:J27"/>
  </mergeCells>
  <hyperlinks>
    <hyperlink ref="H5" r:id="rId1" xr:uid="{AE150F81-A892-43AD-AEEF-C9D26632F386}"/>
  </hyperlinks>
  <pageMargins left="0.2" right="0.1" top="0.25" bottom="0.25" header="0.3" footer="0.3"/>
  <pageSetup paperSize="9" orientation="portrait" r:id="rId2"/>
  <drawing r:id="rId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35243-A20A-4B52-99B0-2B8333F78183}">
  <dimension ref="A1:R25"/>
  <sheetViews>
    <sheetView workbookViewId="0">
      <selection activeCell="C14" sqref="C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897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884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601</v>
      </c>
      <c r="D10" s="10"/>
      <c r="E10" s="10"/>
      <c r="F10" s="10"/>
    </row>
    <row r="11" spans="1:15" x14ac:dyDescent="0.25">
      <c r="B11" t="s">
        <v>11</v>
      </c>
      <c r="C11" s="10" t="s">
        <v>736</v>
      </c>
      <c r="D11" s="11"/>
      <c r="E11" s="11"/>
      <c r="F11" s="11"/>
    </row>
    <row r="12" spans="1:15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5" ht="5.0999999999999996" customHeight="1" thickBot="1" x14ac:dyDescent="0.3">
      <c r="C14" s="14"/>
    </row>
    <row r="15" spans="1:15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  <c r="M15" s="21" t="s">
        <v>738</v>
      </c>
    </row>
    <row r="16" spans="1:15" s="21" customFormat="1" x14ac:dyDescent="0.25">
      <c r="A16" s="53">
        <v>1</v>
      </c>
      <c r="B16" s="47" t="s">
        <v>881</v>
      </c>
      <c r="C16" s="54" t="s">
        <v>23</v>
      </c>
      <c r="D16" s="55">
        <v>24</v>
      </c>
      <c r="E16" s="56">
        <v>30</v>
      </c>
      <c r="F16" s="56">
        <f>D16*E16</f>
        <v>720</v>
      </c>
      <c r="G16" s="56">
        <f>F16*0.17</f>
        <v>122.4</v>
      </c>
      <c r="H16" s="57">
        <f>E16*1.17</f>
        <v>35.099999999999994</v>
      </c>
      <c r="I16" s="56">
        <f>H16*D16</f>
        <v>842.39999999999986</v>
      </c>
      <c r="J16" s="58"/>
      <c r="M16" s="21">
        <f>440*1.02</f>
        <v>448.8</v>
      </c>
      <c r="N16" s="66">
        <f>M16-M17</f>
        <v>65.21025641025642</v>
      </c>
      <c r="O16" s="21">
        <f>N16*D16</f>
        <v>1565.0461538461541</v>
      </c>
    </row>
    <row r="17" spans="1:18" ht="15.75" thickBot="1" x14ac:dyDescent="0.3">
      <c r="A17" s="33"/>
      <c r="B17" s="34" t="s">
        <v>24</v>
      </c>
      <c r="C17" s="35"/>
      <c r="D17" s="62">
        <f>SUM(D16:D16)</f>
        <v>24</v>
      </c>
      <c r="E17" s="35"/>
      <c r="F17" s="62">
        <f>SUM(F16:F16)</f>
        <v>720</v>
      </c>
      <c r="G17" s="62">
        <f>SUM(G16:G16)</f>
        <v>122.4</v>
      </c>
      <c r="H17" s="35"/>
      <c r="I17" s="62">
        <f>SUM(I16:I16)</f>
        <v>842.39999999999986</v>
      </c>
      <c r="J17" s="37"/>
      <c r="M17">
        <f>M16/117*100</f>
        <v>383.58974358974359</v>
      </c>
      <c r="O17">
        <f>M17*1.1</f>
        <v>421.94871794871796</v>
      </c>
    </row>
    <row r="18" spans="1:18" ht="15.75" thickTop="1" x14ac:dyDescent="0.25">
      <c r="A18" s="33"/>
      <c r="B18" s="34" t="s">
        <v>883</v>
      </c>
      <c r="C18" s="35"/>
      <c r="D18" s="35"/>
      <c r="E18" s="35"/>
      <c r="F18" s="35"/>
      <c r="G18" s="35"/>
      <c r="H18" s="35"/>
      <c r="I18" s="35"/>
      <c r="J18" s="37"/>
    </row>
    <row r="19" spans="1:18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  <c r="M19" s="64">
        <f>M17*D16</f>
        <v>9206.1538461538457</v>
      </c>
      <c r="O19" s="65">
        <f>F16</f>
        <v>720</v>
      </c>
      <c r="P19" s="64">
        <f>O19-M19</f>
        <v>-8486.1538461538457</v>
      </c>
      <c r="Q19" s="64">
        <f>I16*0.045</f>
        <v>37.907999999999994</v>
      </c>
      <c r="R19" s="64">
        <f>P19-Q19</f>
        <v>-8524.0618461538452</v>
      </c>
    </row>
    <row r="20" spans="1:18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  <c r="P20" s="64"/>
      <c r="R20" s="65">
        <f>G16-O16</f>
        <v>-1442.646153846154</v>
      </c>
    </row>
    <row r="21" spans="1:18" x14ac:dyDescent="0.25">
      <c r="B21" t="s">
        <v>27</v>
      </c>
    </row>
    <row r="24" spans="1:18" x14ac:dyDescent="0.25">
      <c r="B24" t="s">
        <v>28</v>
      </c>
      <c r="H24" t="s">
        <v>28</v>
      </c>
    </row>
    <row r="25" spans="1:18" x14ac:dyDescent="0.25">
      <c r="B25" t="s">
        <v>29</v>
      </c>
      <c r="H25" t="s">
        <v>30</v>
      </c>
    </row>
  </sheetData>
  <autoFilter ref="A15:J21" xr:uid="{00000000-0009-0000-0000-000005000000}"/>
  <mergeCells count="5">
    <mergeCell ref="A6:J6"/>
    <mergeCell ref="I7:J7"/>
    <mergeCell ref="I8:J8"/>
    <mergeCell ref="I9:J9"/>
    <mergeCell ref="B20:J20"/>
  </mergeCells>
  <hyperlinks>
    <hyperlink ref="H5" r:id="rId1" xr:uid="{03A69641-02EF-4C70-A74A-DDB161F2DD34}"/>
  </hyperlinks>
  <pageMargins left="0.2" right="0.1" top="0.25" bottom="0.25" header="0.3" footer="0.3"/>
  <pageSetup paperSize="9" orientation="portrait" r:id="rId2"/>
  <drawing r:id="rId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B7B80-51F8-4528-A487-1657985A934C}">
  <dimension ref="A1:R25"/>
  <sheetViews>
    <sheetView topLeftCell="A6" workbookViewId="0">
      <selection activeCell="F16" sqref="F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879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880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601</v>
      </c>
      <c r="D10" s="10"/>
      <c r="E10" s="10"/>
      <c r="F10" s="10"/>
    </row>
    <row r="11" spans="1:15" x14ac:dyDescent="0.25">
      <c r="B11" t="s">
        <v>11</v>
      </c>
      <c r="C11" s="10" t="s">
        <v>736</v>
      </c>
      <c r="D11" s="11"/>
      <c r="E11" s="11"/>
      <c r="F11" s="11"/>
    </row>
    <row r="12" spans="1:15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5" ht="5.0999999999999996" customHeight="1" thickBot="1" x14ac:dyDescent="0.3">
      <c r="C14" s="14"/>
    </row>
    <row r="15" spans="1:15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  <c r="M15" s="21" t="s">
        <v>738</v>
      </c>
    </row>
    <row r="16" spans="1:15" s="21" customFormat="1" x14ac:dyDescent="0.25">
      <c r="A16" s="53">
        <v>1</v>
      </c>
      <c r="B16" s="47" t="s">
        <v>737</v>
      </c>
      <c r="C16" s="54" t="s">
        <v>23</v>
      </c>
      <c r="D16" s="55">
        <v>150</v>
      </c>
      <c r="E16" s="56">
        <v>480</v>
      </c>
      <c r="F16" s="56">
        <f>D16*E16</f>
        <v>72000</v>
      </c>
      <c r="G16" s="56">
        <f>F16*0.17</f>
        <v>12240</v>
      </c>
      <c r="H16" s="57">
        <f>E16*1.17</f>
        <v>561.59999999999991</v>
      </c>
      <c r="I16" s="56">
        <f>H16*D16</f>
        <v>84239.999999999985</v>
      </c>
      <c r="J16" s="58"/>
      <c r="M16" s="21">
        <f>440*1.02</f>
        <v>448.8</v>
      </c>
      <c r="N16" s="66" t="e">
        <f>M16-#REF!</f>
        <v>#REF!</v>
      </c>
      <c r="O16" s="21" t="e">
        <f>N16*D16</f>
        <v>#REF!</v>
      </c>
    </row>
    <row r="17" spans="1:18" ht="15.75" thickBot="1" x14ac:dyDescent="0.3">
      <c r="A17" s="33"/>
      <c r="B17" s="34" t="s">
        <v>24</v>
      </c>
      <c r="C17" s="35"/>
      <c r="D17" s="62">
        <f>SUM(D16:D16)</f>
        <v>150</v>
      </c>
      <c r="E17" s="35"/>
      <c r="F17" s="62">
        <f>SUM(F16:F16)</f>
        <v>72000</v>
      </c>
      <c r="G17" s="62">
        <f>SUM(G16:G16)</f>
        <v>12240</v>
      </c>
      <c r="H17" s="35"/>
      <c r="I17" s="62">
        <f>SUM(I16:I16)</f>
        <v>84239.999999999985</v>
      </c>
      <c r="J17" s="37"/>
      <c r="M17" t="e">
        <f>#REF!/117*100</f>
        <v>#REF!</v>
      </c>
      <c r="O17" t="e">
        <f>M17*1.1</f>
        <v>#REF!</v>
      </c>
    </row>
    <row r="18" spans="1:18" ht="15.75" thickTop="1" x14ac:dyDescent="0.25">
      <c r="A18" s="33"/>
      <c r="B18" s="34" t="s">
        <v>882</v>
      </c>
      <c r="C18" s="35"/>
      <c r="D18" s="35"/>
      <c r="E18" s="35"/>
      <c r="F18" s="35"/>
      <c r="G18" s="35"/>
      <c r="H18" s="35"/>
      <c r="I18" s="35"/>
      <c r="J18" s="37"/>
    </row>
    <row r="19" spans="1:18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  <c r="M19" s="64" t="e">
        <f>M17*#REF!</f>
        <v>#REF!</v>
      </c>
      <c r="O19" s="65" t="e">
        <f>#REF!</f>
        <v>#REF!</v>
      </c>
      <c r="P19" s="64" t="e">
        <f>O19-M19</f>
        <v>#REF!</v>
      </c>
      <c r="Q19" s="64" t="e">
        <f>#REF!*0.045</f>
        <v>#REF!</v>
      </c>
      <c r="R19" s="64" t="e">
        <f>P19-Q19</f>
        <v>#REF!</v>
      </c>
    </row>
    <row r="20" spans="1:18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  <c r="P20" s="64"/>
      <c r="R20" s="65" t="e">
        <f>#REF!-#REF!</f>
        <v>#REF!</v>
      </c>
    </row>
    <row r="21" spans="1:18" x14ac:dyDescent="0.25">
      <c r="B21" t="s">
        <v>27</v>
      </c>
    </row>
    <row r="24" spans="1:18" x14ac:dyDescent="0.25">
      <c r="B24" t="s">
        <v>28</v>
      </c>
      <c r="H24" t="s">
        <v>28</v>
      </c>
    </row>
    <row r="25" spans="1:18" x14ac:dyDescent="0.25">
      <c r="B25" t="s">
        <v>29</v>
      </c>
      <c r="H25" t="s">
        <v>30</v>
      </c>
    </row>
  </sheetData>
  <autoFilter ref="A15:J21" xr:uid="{00000000-0009-0000-0000-000005000000}"/>
  <mergeCells count="5">
    <mergeCell ref="A6:J6"/>
    <mergeCell ref="I7:J7"/>
    <mergeCell ref="I8:J8"/>
    <mergeCell ref="I9:J9"/>
    <mergeCell ref="B20:J20"/>
  </mergeCells>
  <hyperlinks>
    <hyperlink ref="H5" r:id="rId1" xr:uid="{FB59A57F-0748-4B99-B43E-9C8361423D2C}"/>
  </hyperlinks>
  <pageMargins left="0.2" right="0.1" top="0.25" bottom="0.25" header="0.3" footer="0.3"/>
  <pageSetup paperSize="9"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5F8D5-D3E0-401F-B27A-9364D56D211B}">
  <dimension ref="A1:R30"/>
  <sheetViews>
    <sheetView topLeftCell="A12" workbookViewId="0">
      <selection activeCell="F20" activeCellId="1" sqref="F16:F18 F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2263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1523</v>
      </c>
      <c r="C16" s="53" t="s">
        <v>1506</v>
      </c>
      <c r="D16" s="79">
        <v>4</v>
      </c>
      <c r="E16" s="56">
        <v>25</v>
      </c>
      <c r="F16" s="56">
        <f t="shared" ref="F16:F20" si="0">D16*E16</f>
        <v>100</v>
      </c>
      <c r="G16" s="149">
        <f t="shared" ref="G16:G20" si="1">F16*0.17</f>
        <v>17</v>
      </c>
      <c r="H16" s="85">
        <f t="shared" ref="H16:H20" si="2">E16*1.17</f>
        <v>29.25</v>
      </c>
      <c r="I16" s="56">
        <f t="shared" ref="I16:I20" si="3">H16*D16</f>
        <v>117</v>
      </c>
      <c r="J16" s="83"/>
      <c r="N16" s="66"/>
    </row>
    <row r="17" spans="1:18" s="21" customFormat="1" ht="15.75" x14ac:dyDescent="0.25">
      <c r="A17" s="53">
        <v>2</v>
      </c>
      <c r="B17" s="78" t="s">
        <v>1538</v>
      </c>
      <c r="C17" s="53" t="s">
        <v>23</v>
      </c>
      <c r="D17" s="79">
        <v>1</v>
      </c>
      <c r="E17" s="56">
        <v>340</v>
      </c>
      <c r="F17" s="56">
        <f t="shared" si="0"/>
        <v>340</v>
      </c>
      <c r="G17" s="149">
        <f t="shared" si="1"/>
        <v>57.800000000000004</v>
      </c>
      <c r="H17" s="85">
        <f t="shared" si="2"/>
        <v>397.79999999999995</v>
      </c>
      <c r="I17" s="56">
        <f t="shared" si="3"/>
        <v>397.79999999999995</v>
      </c>
      <c r="J17" s="83"/>
      <c r="N17" s="66"/>
    </row>
    <row r="18" spans="1:18" s="21" customFormat="1" ht="15.75" x14ac:dyDescent="0.25">
      <c r="A18" s="53">
        <v>3</v>
      </c>
      <c r="B18" s="78" t="s">
        <v>1530</v>
      </c>
      <c r="C18" s="53" t="s">
        <v>1506</v>
      </c>
      <c r="D18" s="79">
        <v>1</v>
      </c>
      <c r="E18" s="56">
        <v>135</v>
      </c>
      <c r="F18" s="56">
        <f t="shared" si="0"/>
        <v>135</v>
      </c>
      <c r="G18" s="149">
        <f t="shared" si="1"/>
        <v>22.950000000000003</v>
      </c>
      <c r="H18" s="85">
        <f t="shared" si="2"/>
        <v>157.94999999999999</v>
      </c>
      <c r="I18" s="56">
        <f t="shared" si="3"/>
        <v>157.94999999999999</v>
      </c>
      <c r="J18" s="83"/>
      <c r="N18" s="66"/>
    </row>
    <row r="19" spans="1:18" s="21" customFormat="1" ht="15.75" x14ac:dyDescent="0.25">
      <c r="A19" s="53">
        <v>4</v>
      </c>
      <c r="B19" s="78" t="s">
        <v>1949</v>
      </c>
      <c r="C19" s="53" t="s">
        <v>76</v>
      </c>
      <c r="D19" s="79">
        <v>1</v>
      </c>
      <c r="E19" s="56">
        <v>75</v>
      </c>
      <c r="F19" s="56">
        <f t="shared" si="0"/>
        <v>75</v>
      </c>
      <c r="G19" s="149">
        <f>F19*0</f>
        <v>0</v>
      </c>
      <c r="H19" s="85">
        <f>E19*1</f>
        <v>75</v>
      </c>
      <c r="I19" s="56">
        <f t="shared" si="3"/>
        <v>75</v>
      </c>
      <c r="J19" s="83"/>
      <c r="N19" s="66"/>
    </row>
    <row r="20" spans="1:18" s="21" customFormat="1" ht="15.75" x14ac:dyDescent="0.25">
      <c r="A20" s="53">
        <v>5</v>
      </c>
      <c r="B20" s="78" t="s">
        <v>1952</v>
      </c>
      <c r="C20" s="53" t="s">
        <v>23</v>
      </c>
      <c r="D20" s="79">
        <v>200</v>
      </c>
      <c r="E20" s="56">
        <v>180</v>
      </c>
      <c r="F20" s="56">
        <f t="shared" si="0"/>
        <v>36000</v>
      </c>
      <c r="G20" s="149">
        <f t="shared" si="1"/>
        <v>6120</v>
      </c>
      <c r="H20" s="85">
        <f t="shared" si="2"/>
        <v>210.6</v>
      </c>
      <c r="I20" s="56">
        <f t="shared" si="3"/>
        <v>42120</v>
      </c>
      <c r="J20" s="83"/>
      <c r="N20" s="66"/>
    </row>
    <row r="21" spans="1:18" s="21" customFormat="1" ht="15.75" x14ac:dyDescent="0.25">
      <c r="A21" s="53"/>
      <c r="B21" s="78"/>
      <c r="C21" s="53"/>
      <c r="D21" s="79"/>
      <c r="E21" s="56"/>
      <c r="F21" s="56"/>
      <c r="G21" s="149"/>
      <c r="H21" s="85"/>
      <c r="I21" s="56"/>
      <c r="J21" s="83"/>
      <c r="N21" s="66"/>
    </row>
    <row r="22" spans="1:18" ht="15.75" thickBot="1" x14ac:dyDescent="0.3">
      <c r="A22" s="33"/>
      <c r="B22" s="34" t="s">
        <v>24</v>
      </c>
      <c r="C22" s="35"/>
      <c r="D22" s="62">
        <f>SUM(D16:D21)</f>
        <v>207</v>
      </c>
      <c r="E22" s="35"/>
      <c r="F22" s="62">
        <f>SUM(F16:F21)</f>
        <v>36650</v>
      </c>
      <c r="G22" s="62">
        <f>SUM(G16:G21)</f>
        <v>6217.75</v>
      </c>
      <c r="H22" s="35"/>
      <c r="I22" s="62">
        <f>SUM(I16:I21)</f>
        <v>42867.75</v>
      </c>
      <c r="J22" s="37"/>
    </row>
    <row r="23" spans="1:18" ht="15.75" thickTop="1" x14ac:dyDescent="0.25">
      <c r="A23" s="33"/>
      <c r="B23" s="34" t="s">
        <v>2261</v>
      </c>
      <c r="C23" s="35"/>
      <c r="D23" s="35"/>
      <c r="E23" s="35"/>
      <c r="F23" s="35"/>
      <c r="G23" s="35"/>
      <c r="H23" s="35"/>
      <c r="I23" s="35"/>
      <c r="J23" s="37"/>
    </row>
    <row r="24" spans="1:18" x14ac:dyDescent="0.25">
      <c r="A24" s="33"/>
      <c r="B24" s="38" t="s">
        <v>25</v>
      </c>
      <c r="C24" s="35"/>
      <c r="D24" s="35"/>
      <c r="E24" s="35"/>
      <c r="F24" s="35"/>
      <c r="G24" s="35"/>
      <c r="H24" s="35"/>
      <c r="I24" s="35"/>
      <c r="J24" s="37"/>
      <c r="M24" s="64"/>
      <c r="O24" s="65"/>
      <c r="P24" s="64"/>
      <c r="Q24" s="64"/>
      <c r="R24" s="64"/>
    </row>
    <row r="25" spans="1:18" ht="30" customHeight="1" x14ac:dyDescent="0.25">
      <c r="B25" s="183" t="s">
        <v>26</v>
      </c>
      <c r="C25" s="183"/>
      <c r="D25" s="183"/>
      <c r="E25" s="183"/>
      <c r="F25" s="183"/>
      <c r="G25" s="183"/>
      <c r="H25" s="183"/>
      <c r="I25" s="183"/>
      <c r="J25" s="183"/>
      <c r="P25" s="64"/>
      <c r="R25" s="65"/>
    </row>
    <row r="26" spans="1:18" x14ac:dyDescent="0.25">
      <c r="B26" t="s">
        <v>634</v>
      </c>
    </row>
    <row r="29" spans="1:18" x14ac:dyDescent="0.25">
      <c r="B29" t="s">
        <v>28</v>
      </c>
      <c r="H29" t="s">
        <v>28</v>
      </c>
    </row>
    <row r="30" spans="1:18" x14ac:dyDescent="0.25">
      <c r="B30" t="s">
        <v>29</v>
      </c>
      <c r="H30" t="s">
        <v>30</v>
      </c>
    </row>
  </sheetData>
  <autoFilter ref="A15:J26" xr:uid="{00000000-0009-0000-0000-000000000000}"/>
  <mergeCells count="5">
    <mergeCell ref="A6:J6"/>
    <mergeCell ref="I7:J7"/>
    <mergeCell ref="I8:J8"/>
    <mergeCell ref="I9:J9"/>
    <mergeCell ref="B25:J25"/>
  </mergeCells>
  <hyperlinks>
    <hyperlink ref="H5" r:id="rId1" xr:uid="{7541A323-3158-43C8-9A6D-D14BE0458602}"/>
  </hyperlinks>
  <pageMargins left="0.2" right="0.1" top="0.25" bottom="0.25" header="0.3" footer="0.3"/>
  <pageSetup paperSize="9" orientation="portrait" r:id="rId2"/>
  <drawing r:id="rId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BDEF2-09B8-4065-BD99-F9A270615C6E}">
  <dimension ref="A1:R25"/>
  <sheetViews>
    <sheetView workbookViewId="0">
      <selection activeCell="C4" sqref="C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877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878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601</v>
      </c>
      <c r="D10" s="10"/>
      <c r="E10" s="10"/>
      <c r="F10" s="10"/>
    </row>
    <row r="11" spans="1:15" x14ac:dyDescent="0.25">
      <c r="B11" t="s">
        <v>11</v>
      </c>
      <c r="C11" s="10" t="s">
        <v>875</v>
      </c>
      <c r="D11" s="11"/>
      <c r="E11" s="11"/>
      <c r="F11" s="11"/>
    </row>
    <row r="12" spans="1:15" x14ac:dyDescent="0.25">
      <c r="A12" s="12"/>
      <c r="B12" s="13"/>
      <c r="C12" s="14" t="s">
        <v>876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5" ht="5.0999999999999996" customHeight="1" thickBot="1" x14ac:dyDescent="0.3">
      <c r="C14" s="14"/>
    </row>
    <row r="15" spans="1:15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  <c r="M15" s="21" t="s">
        <v>738</v>
      </c>
    </row>
    <row r="16" spans="1:15" s="21" customFormat="1" x14ac:dyDescent="0.25">
      <c r="A16" s="53">
        <v>1</v>
      </c>
      <c r="B16" s="47" t="s">
        <v>873</v>
      </c>
      <c r="C16" s="54" t="s">
        <v>23</v>
      </c>
      <c r="D16" s="55">
        <v>5</v>
      </c>
      <c r="E16" s="56">
        <v>1050</v>
      </c>
      <c r="F16" s="56">
        <f>D16*E16</f>
        <v>5250</v>
      </c>
      <c r="G16" s="56">
        <f>F16*0.17</f>
        <v>892.50000000000011</v>
      </c>
      <c r="H16" s="57">
        <f>E16*1.17</f>
        <v>1228.5</v>
      </c>
      <c r="I16" s="56">
        <f>H16*D16</f>
        <v>6142.5</v>
      </c>
      <c r="J16" s="58"/>
      <c r="M16" s="21">
        <f>440*1.02</f>
        <v>448.8</v>
      </c>
      <c r="N16" s="66">
        <f>M16-M17</f>
        <v>65.21025641025642</v>
      </c>
      <c r="O16" s="21">
        <f>N16*D16</f>
        <v>326.0512820512821</v>
      </c>
    </row>
    <row r="17" spans="1:18" ht="15.75" thickBot="1" x14ac:dyDescent="0.3">
      <c r="A17" s="33"/>
      <c r="B17" s="34" t="s">
        <v>24</v>
      </c>
      <c r="C17" s="35"/>
      <c r="D17" s="62">
        <f>SUM(D16:D16)</f>
        <v>5</v>
      </c>
      <c r="E17" s="35"/>
      <c r="F17" s="62">
        <f>SUM(F16:F16)</f>
        <v>5250</v>
      </c>
      <c r="G17" s="62">
        <f>SUM(G16:G16)</f>
        <v>892.50000000000011</v>
      </c>
      <c r="H17" s="35"/>
      <c r="I17" s="62">
        <f>SUM(I16:I16)</f>
        <v>6142.5</v>
      </c>
      <c r="J17" s="37"/>
      <c r="M17">
        <f>M16/117*100</f>
        <v>383.58974358974359</v>
      </c>
      <c r="O17">
        <f>M17*1.1</f>
        <v>421.94871794871796</v>
      </c>
    </row>
    <row r="18" spans="1:18" ht="15.75" thickTop="1" x14ac:dyDescent="0.25">
      <c r="A18" s="33"/>
      <c r="B18" s="34" t="s">
        <v>874</v>
      </c>
      <c r="C18" s="35"/>
      <c r="D18" s="35"/>
      <c r="E18" s="35"/>
      <c r="F18" s="35"/>
      <c r="G18" s="35"/>
      <c r="H18" s="35"/>
      <c r="I18" s="35"/>
      <c r="J18" s="37"/>
    </row>
    <row r="19" spans="1:18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  <c r="M19" s="64">
        <f>M17*D16</f>
        <v>1917.948717948718</v>
      </c>
      <c r="O19" s="65">
        <f>F16</f>
        <v>5250</v>
      </c>
      <c r="P19" s="64">
        <f>O19-M19</f>
        <v>3332.0512820512822</v>
      </c>
      <c r="Q19" s="64">
        <f>I16*0.045</f>
        <v>276.41249999999997</v>
      </c>
      <c r="R19" s="64">
        <f>P19-Q19</f>
        <v>3055.6387820512823</v>
      </c>
    </row>
    <row r="20" spans="1:18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  <c r="P20" s="64"/>
      <c r="R20" s="65">
        <f>G16-O16</f>
        <v>566.44871794871801</v>
      </c>
    </row>
    <row r="21" spans="1:18" x14ac:dyDescent="0.25">
      <c r="B21" t="s">
        <v>27</v>
      </c>
    </row>
    <row r="24" spans="1:18" x14ac:dyDescent="0.25">
      <c r="B24" t="s">
        <v>28</v>
      </c>
      <c r="H24" t="s">
        <v>28</v>
      </c>
    </row>
    <row r="25" spans="1:18" x14ac:dyDescent="0.25">
      <c r="B25" t="s">
        <v>29</v>
      </c>
      <c r="H25" t="s">
        <v>30</v>
      </c>
    </row>
  </sheetData>
  <autoFilter ref="A15:J21" xr:uid="{00000000-0009-0000-0000-000005000000}"/>
  <mergeCells count="5">
    <mergeCell ref="A6:J6"/>
    <mergeCell ref="I7:J7"/>
    <mergeCell ref="I8:J8"/>
    <mergeCell ref="I9:J9"/>
    <mergeCell ref="B20:J20"/>
  </mergeCells>
  <hyperlinks>
    <hyperlink ref="H5" r:id="rId1" xr:uid="{0D38FC9F-C515-481B-8459-12AFC9FD3E3C}"/>
  </hyperlinks>
  <pageMargins left="0.2" right="0.1" top="0.25" bottom="0.25" header="0.3" footer="0.3"/>
  <pageSetup paperSize="9" orientation="portrait" r:id="rId2"/>
  <drawing r:id="rId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4832D-5580-4D5F-867A-BD2ABE93F71B}">
  <dimension ref="A1:R25"/>
  <sheetViews>
    <sheetView workbookViewId="0">
      <selection activeCell="B4" sqref="B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872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871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601</v>
      </c>
      <c r="D10" s="10"/>
      <c r="E10" s="10"/>
      <c r="F10" s="10"/>
    </row>
    <row r="11" spans="1:15" x14ac:dyDescent="0.25">
      <c r="B11" t="s">
        <v>11</v>
      </c>
      <c r="C11" s="10" t="s">
        <v>875</v>
      </c>
      <c r="D11" s="11"/>
      <c r="E11" s="11"/>
      <c r="F11" s="11"/>
    </row>
    <row r="12" spans="1:15" x14ac:dyDescent="0.25">
      <c r="A12" s="12"/>
      <c r="B12" s="13"/>
      <c r="C12" s="14" t="s">
        <v>876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5" ht="5.0999999999999996" customHeight="1" thickBot="1" x14ac:dyDescent="0.3">
      <c r="C14" s="14"/>
    </row>
    <row r="15" spans="1:15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  <c r="M15" s="21" t="s">
        <v>738</v>
      </c>
    </row>
    <row r="16" spans="1:15" s="21" customFormat="1" x14ac:dyDescent="0.25">
      <c r="A16" s="53">
        <v>1</v>
      </c>
      <c r="B16" s="47" t="s">
        <v>873</v>
      </c>
      <c r="C16" s="54" t="s">
        <v>23</v>
      </c>
      <c r="D16" s="55">
        <v>5</v>
      </c>
      <c r="E16" s="56">
        <v>1050</v>
      </c>
      <c r="F16" s="56">
        <f>D16*E16</f>
        <v>5250</v>
      </c>
      <c r="G16" s="56">
        <f>F16*0.17</f>
        <v>892.50000000000011</v>
      </c>
      <c r="H16" s="57">
        <f>E16*1.17</f>
        <v>1228.5</v>
      </c>
      <c r="I16" s="56">
        <f>H16*D16</f>
        <v>6142.5</v>
      </c>
      <c r="J16" s="58"/>
      <c r="M16" s="21">
        <f>440*1.02</f>
        <v>448.8</v>
      </c>
      <c r="N16" s="66">
        <f>M16-M17</f>
        <v>65.21025641025642</v>
      </c>
      <c r="O16" s="21">
        <f>N16*D16</f>
        <v>326.0512820512821</v>
      </c>
    </row>
    <row r="17" spans="1:18" ht="15.75" thickBot="1" x14ac:dyDescent="0.3">
      <c r="A17" s="33"/>
      <c r="B17" s="34" t="s">
        <v>24</v>
      </c>
      <c r="C17" s="35"/>
      <c r="D17" s="62">
        <f>SUM(D16:D16)</f>
        <v>5</v>
      </c>
      <c r="E17" s="35"/>
      <c r="F17" s="62">
        <f>SUM(F16:F16)</f>
        <v>5250</v>
      </c>
      <c r="G17" s="62">
        <f>SUM(G16:G16)</f>
        <v>892.50000000000011</v>
      </c>
      <c r="H17" s="35"/>
      <c r="I17" s="62">
        <f>SUM(I16:I16)</f>
        <v>6142.5</v>
      </c>
      <c r="J17" s="37"/>
      <c r="M17">
        <f>M16/117*100</f>
        <v>383.58974358974359</v>
      </c>
      <c r="O17">
        <f>M17*1.1</f>
        <v>421.94871794871796</v>
      </c>
    </row>
    <row r="18" spans="1:18" ht="15.75" thickTop="1" x14ac:dyDescent="0.25">
      <c r="A18" s="33"/>
      <c r="B18" s="34" t="s">
        <v>874</v>
      </c>
      <c r="C18" s="35"/>
      <c r="D18" s="35"/>
      <c r="E18" s="35"/>
      <c r="F18" s="35"/>
      <c r="G18" s="35"/>
      <c r="H18" s="35"/>
      <c r="I18" s="35"/>
      <c r="J18" s="37"/>
    </row>
    <row r="19" spans="1:18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  <c r="M19" s="64">
        <f>M17*D16</f>
        <v>1917.948717948718</v>
      </c>
      <c r="O19" s="65">
        <f>F16</f>
        <v>5250</v>
      </c>
      <c r="P19" s="64">
        <f>O19-M19</f>
        <v>3332.0512820512822</v>
      </c>
      <c r="Q19" s="64">
        <f>I16*0.045</f>
        <v>276.41249999999997</v>
      </c>
      <c r="R19" s="64">
        <f>P19-Q19</f>
        <v>3055.6387820512823</v>
      </c>
    </row>
    <row r="20" spans="1:18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  <c r="P20" s="64"/>
      <c r="R20" s="65">
        <f>G16-O16</f>
        <v>566.44871794871801</v>
      </c>
    </row>
    <row r="21" spans="1:18" x14ac:dyDescent="0.25">
      <c r="B21" t="s">
        <v>27</v>
      </c>
    </row>
    <row r="24" spans="1:18" x14ac:dyDescent="0.25">
      <c r="B24" t="s">
        <v>28</v>
      </c>
      <c r="H24" t="s">
        <v>28</v>
      </c>
    </row>
    <row r="25" spans="1:18" x14ac:dyDescent="0.25">
      <c r="B25" t="s">
        <v>29</v>
      </c>
      <c r="H25" t="s">
        <v>30</v>
      </c>
    </row>
  </sheetData>
  <autoFilter ref="A15:J21" xr:uid="{00000000-0009-0000-0000-000005000000}"/>
  <mergeCells count="5">
    <mergeCell ref="A6:J6"/>
    <mergeCell ref="I7:J7"/>
    <mergeCell ref="I8:J8"/>
    <mergeCell ref="I9:J9"/>
    <mergeCell ref="B20:J20"/>
  </mergeCells>
  <hyperlinks>
    <hyperlink ref="H5" r:id="rId1" xr:uid="{B2A875EC-B6E9-45B4-A0B8-9867D8652F12}"/>
  </hyperlinks>
  <pageMargins left="0.2" right="0.1" top="0.25" bottom="0.25" header="0.3" footer="0.3"/>
  <pageSetup paperSize="9" orientation="portrait" r:id="rId2"/>
  <drawing r:id="rId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0A03C-AD07-4FBF-A0FE-BDCD6E2E1227}">
  <dimension ref="A1:J25"/>
  <sheetViews>
    <sheetView workbookViewId="0">
      <selection activeCell="B1" sqref="B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866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867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868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869</v>
      </c>
      <c r="C16" s="54" t="s">
        <v>23</v>
      </c>
      <c r="D16" s="55">
        <v>100</v>
      </c>
      <c r="E16" s="56">
        <v>300</v>
      </c>
      <c r="F16" s="56">
        <f t="shared" ref="F16" si="0">D16*E16</f>
        <v>30000</v>
      </c>
      <c r="G16" s="56">
        <f>F16*0.17</f>
        <v>5100</v>
      </c>
      <c r="H16" s="57">
        <f>E16*1.17</f>
        <v>351</v>
      </c>
      <c r="I16" s="56">
        <f t="shared" ref="I16" si="1">H16*D16</f>
        <v>35100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100</v>
      </c>
      <c r="E17" s="35"/>
      <c r="F17" s="62">
        <f>SUM(F16:F16)</f>
        <v>30000</v>
      </c>
      <c r="G17" s="62">
        <f>SUM(G16:G16)</f>
        <v>5100</v>
      </c>
      <c r="H17" s="35"/>
      <c r="I17" s="62">
        <f>SUM(I16:I16)</f>
        <v>35100</v>
      </c>
      <c r="J17" s="37"/>
    </row>
    <row r="18" spans="1:10" ht="15.75" thickTop="1" x14ac:dyDescent="0.25">
      <c r="A18" s="33"/>
      <c r="B18" s="34" t="s">
        <v>870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A68B14D4-A312-4781-BDD9-5061A4C2B0D5}"/>
  </hyperlinks>
  <pageMargins left="0.2" right="0.1" top="0.25" bottom="0.25" header="0.3" footer="0.3"/>
  <pageSetup paperSize="9" orientation="portrait" r:id="rId2"/>
  <drawing r:id="rId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2"/>
  <sheetViews>
    <sheetView workbookViewId="0">
      <selection activeCell="A18" sqref="A1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855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854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856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857</v>
      </c>
      <c r="C16" s="54" t="s">
        <v>23</v>
      </c>
      <c r="D16" s="55">
        <v>500</v>
      </c>
      <c r="E16" s="56">
        <v>98</v>
      </c>
      <c r="F16" s="56">
        <f t="shared" ref="F16:F23" si="0">D16*E16</f>
        <v>49000</v>
      </c>
      <c r="G16" s="56">
        <f>F16*0.17</f>
        <v>8330</v>
      </c>
      <c r="H16" s="57">
        <f>E16*1.17</f>
        <v>114.66</v>
      </c>
      <c r="I16" s="56">
        <f t="shared" ref="I16:I23" si="1">H16*D16</f>
        <v>57330</v>
      </c>
      <c r="J16" s="58"/>
    </row>
    <row r="17" spans="1:10" s="21" customFormat="1" x14ac:dyDescent="0.25">
      <c r="A17" s="53">
        <v>2</v>
      </c>
      <c r="B17" s="47" t="s">
        <v>858</v>
      </c>
      <c r="C17" s="54" t="s">
        <v>23</v>
      </c>
      <c r="D17" s="55">
        <v>200</v>
      </c>
      <c r="E17" s="56">
        <v>260</v>
      </c>
      <c r="F17" s="56">
        <f t="shared" si="0"/>
        <v>52000</v>
      </c>
      <c r="G17" s="56">
        <f>F17*0.17</f>
        <v>8840</v>
      </c>
      <c r="H17" s="57">
        <f>E17*1.17</f>
        <v>304.2</v>
      </c>
      <c r="I17" s="56">
        <f t="shared" si="1"/>
        <v>60840</v>
      </c>
      <c r="J17" s="58"/>
    </row>
    <row r="18" spans="1:10" s="21" customFormat="1" x14ac:dyDescent="0.25">
      <c r="A18" s="53">
        <v>3</v>
      </c>
      <c r="B18" s="47" t="s">
        <v>859</v>
      </c>
      <c r="C18" s="54" t="s">
        <v>23</v>
      </c>
      <c r="D18" s="55">
        <v>200</v>
      </c>
      <c r="E18" s="56">
        <v>125</v>
      </c>
      <c r="F18" s="56">
        <f t="shared" si="0"/>
        <v>25000</v>
      </c>
      <c r="G18" s="56">
        <f>F18*0.17</f>
        <v>4250</v>
      </c>
      <c r="H18" s="57">
        <f>E18*1.17</f>
        <v>146.25</v>
      </c>
      <c r="I18" s="56">
        <f t="shared" si="1"/>
        <v>29250</v>
      </c>
      <c r="J18" s="58"/>
    </row>
    <row r="19" spans="1:10" s="21" customFormat="1" x14ac:dyDescent="0.25">
      <c r="A19" s="53">
        <v>4</v>
      </c>
      <c r="B19" s="47" t="s">
        <v>860</v>
      </c>
      <c r="C19" s="54" t="s">
        <v>23</v>
      </c>
      <c r="D19" s="55">
        <v>500</v>
      </c>
      <c r="E19" s="56">
        <v>15</v>
      </c>
      <c r="F19" s="56">
        <f t="shared" ref="F19:F20" si="2">D19*E19</f>
        <v>7500</v>
      </c>
      <c r="G19" s="56">
        <f>F19*0.17</f>
        <v>1275</v>
      </c>
      <c r="H19" s="57">
        <f>E19*1.17</f>
        <v>17.549999999999997</v>
      </c>
      <c r="I19" s="56">
        <f t="shared" ref="I19:I20" si="3">H19*D19</f>
        <v>8774.9999999999982</v>
      </c>
      <c r="J19" s="58"/>
    </row>
    <row r="20" spans="1:10" s="21" customFormat="1" x14ac:dyDescent="0.25">
      <c r="A20" s="53">
        <v>5</v>
      </c>
      <c r="B20" s="47" t="s">
        <v>861</v>
      </c>
      <c r="C20" s="54" t="s">
        <v>23</v>
      </c>
      <c r="D20" s="55">
        <v>2000</v>
      </c>
      <c r="E20" s="56">
        <v>9</v>
      </c>
      <c r="F20" s="56">
        <f t="shared" si="2"/>
        <v>18000</v>
      </c>
      <c r="G20" s="56">
        <f>F20*0</f>
        <v>0</v>
      </c>
      <c r="H20" s="57">
        <f>E20*1</f>
        <v>9</v>
      </c>
      <c r="I20" s="56">
        <f t="shared" si="3"/>
        <v>18000</v>
      </c>
      <c r="J20" s="58"/>
    </row>
    <row r="21" spans="1:10" s="21" customFormat="1" ht="30" x14ac:dyDescent="0.25">
      <c r="A21" s="53">
        <v>6</v>
      </c>
      <c r="B21" s="47" t="s">
        <v>862</v>
      </c>
      <c r="C21" s="54" t="s">
        <v>23</v>
      </c>
      <c r="D21" s="55">
        <v>500</v>
      </c>
      <c r="E21" s="56">
        <v>125</v>
      </c>
      <c r="F21" s="56">
        <f t="shared" ref="F21:F22" si="4">D21*E21</f>
        <v>62500</v>
      </c>
      <c r="G21" s="56">
        <f>F21*0.17</f>
        <v>10625</v>
      </c>
      <c r="H21" s="57">
        <f>E21*1.17</f>
        <v>146.25</v>
      </c>
      <c r="I21" s="56">
        <f t="shared" ref="I21:I22" si="5">H21*D21</f>
        <v>73125</v>
      </c>
      <c r="J21" s="58"/>
    </row>
    <row r="22" spans="1:10" s="21" customFormat="1" ht="30" x14ac:dyDescent="0.25">
      <c r="A22" s="53">
        <v>7</v>
      </c>
      <c r="B22" s="47" t="s">
        <v>863</v>
      </c>
      <c r="C22" s="54" t="s">
        <v>23</v>
      </c>
      <c r="D22" s="55">
        <v>50</v>
      </c>
      <c r="E22" s="56">
        <v>140</v>
      </c>
      <c r="F22" s="56">
        <f t="shared" si="4"/>
        <v>7000</v>
      </c>
      <c r="G22" s="56">
        <f>F22*0.17</f>
        <v>1190</v>
      </c>
      <c r="H22" s="57">
        <f>E22*1.17</f>
        <v>163.79999999999998</v>
      </c>
      <c r="I22" s="56">
        <f t="shared" si="5"/>
        <v>8189.9999999999991</v>
      </c>
      <c r="J22" s="58"/>
    </row>
    <row r="23" spans="1:10" s="21" customFormat="1" ht="30" x14ac:dyDescent="0.25">
      <c r="A23" s="53">
        <v>8</v>
      </c>
      <c r="B23" s="47" t="s">
        <v>864</v>
      </c>
      <c r="C23" s="54" t="s">
        <v>23</v>
      </c>
      <c r="D23" s="55">
        <v>50</v>
      </c>
      <c r="E23" s="56">
        <v>140</v>
      </c>
      <c r="F23" s="56">
        <f t="shared" si="0"/>
        <v>7000</v>
      </c>
      <c r="G23" s="56">
        <f>F23*0.17</f>
        <v>1190</v>
      </c>
      <c r="H23" s="57">
        <f>E23*1.17</f>
        <v>163.79999999999998</v>
      </c>
      <c r="I23" s="56">
        <f t="shared" si="1"/>
        <v>8189.9999999999991</v>
      </c>
      <c r="J23" s="58"/>
    </row>
    <row r="24" spans="1:10" ht="15.75" thickBot="1" x14ac:dyDescent="0.3">
      <c r="A24" s="33"/>
      <c r="B24" s="34" t="s">
        <v>24</v>
      </c>
      <c r="C24" s="35"/>
      <c r="D24" s="62">
        <f>SUM(D16:D23)</f>
        <v>4000</v>
      </c>
      <c r="E24" s="35"/>
      <c r="F24" s="62">
        <f>SUM(F16:F23)</f>
        <v>228000</v>
      </c>
      <c r="G24" s="62">
        <f>SUM(G16:G23)</f>
        <v>35700</v>
      </c>
      <c r="H24" s="35"/>
      <c r="I24" s="62">
        <f>SUM(I16:I23)</f>
        <v>263700</v>
      </c>
      <c r="J24" s="37"/>
    </row>
    <row r="25" spans="1:10" ht="15.75" thickTop="1" x14ac:dyDescent="0.25">
      <c r="A25" s="33"/>
      <c r="B25" s="34" t="s">
        <v>865</v>
      </c>
      <c r="C25" s="35"/>
      <c r="D25" s="35"/>
      <c r="E25" s="35"/>
      <c r="F25" s="35"/>
      <c r="G25" s="35"/>
      <c r="H25" s="35"/>
      <c r="I25" s="35"/>
      <c r="J25" s="37"/>
    </row>
    <row r="26" spans="1:10" x14ac:dyDescent="0.25">
      <c r="A26" s="33"/>
      <c r="B26" s="38" t="s">
        <v>25</v>
      </c>
      <c r="C26" s="35"/>
      <c r="D26" s="35"/>
      <c r="E26" s="35"/>
      <c r="F26" s="35"/>
      <c r="G26" s="35"/>
      <c r="H26" s="35"/>
      <c r="I26" s="35"/>
      <c r="J26" s="37"/>
    </row>
    <row r="27" spans="1:10" ht="30" customHeight="1" x14ac:dyDescent="0.25">
      <c r="B27" s="183" t="s">
        <v>26</v>
      </c>
      <c r="C27" s="183"/>
      <c r="D27" s="183"/>
      <c r="E27" s="183"/>
      <c r="F27" s="183"/>
      <c r="G27" s="183"/>
      <c r="H27" s="183"/>
      <c r="I27" s="183"/>
      <c r="J27" s="183"/>
    </row>
    <row r="28" spans="1:10" x14ac:dyDescent="0.25">
      <c r="B28" t="s">
        <v>27</v>
      </c>
    </row>
    <row r="31" spans="1:10" x14ac:dyDescent="0.25">
      <c r="B31" t="s">
        <v>28</v>
      </c>
      <c r="H31" t="s">
        <v>28</v>
      </c>
    </row>
    <row r="32" spans="1:10" x14ac:dyDescent="0.25">
      <c r="B32" t="s">
        <v>29</v>
      </c>
      <c r="H32" t="s">
        <v>30</v>
      </c>
    </row>
  </sheetData>
  <autoFilter ref="A15:J28" xr:uid="{00000000-0009-0000-0000-000000000000}"/>
  <mergeCells count="5">
    <mergeCell ref="A6:J6"/>
    <mergeCell ref="I7:J7"/>
    <mergeCell ref="I8:J8"/>
    <mergeCell ref="I9:J9"/>
    <mergeCell ref="B27:J27"/>
  </mergeCells>
  <hyperlinks>
    <hyperlink ref="H5" r:id="rId1" xr:uid="{00000000-0004-0000-0000-000000000000}"/>
  </hyperlinks>
  <pageMargins left="0.2" right="0.1" top="0.25" bottom="0.25" header="0.3" footer="0.3"/>
  <pageSetup paperSize="9" orientation="portrait" r:id="rId2"/>
  <drawing r:id="rId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9"/>
  <sheetViews>
    <sheetView workbookViewId="0">
      <selection activeCell="F10" sqref="F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807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826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827</v>
      </c>
      <c r="C16" s="24" t="s">
        <v>76</v>
      </c>
      <c r="D16" s="25">
        <v>25</v>
      </c>
      <c r="E16" s="26">
        <v>70</v>
      </c>
      <c r="F16" s="27">
        <f t="shared" ref="F16:F41" si="0">D16*E16</f>
        <v>1750</v>
      </c>
      <c r="G16" s="27">
        <f>F16*0</f>
        <v>0</v>
      </c>
      <c r="H16" s="39">
        <f>E16*1</f>
        <v>70</v>
      </c>
      <c r="I16" s="27">
        <f t="shared" ref="I16:I41" si="1">H16*D16</f>
        <v>1750</v>
      </c>
      <c r="J16" s="28"/>
    </row>
    <row r="17" spans="1:10" s="21" customFormat="1" x14ac:dyDescent="0.25">
      <c r="A17" s="22">
        <f>A16+1</f>
        <v>2</v>
      </c>
      <c r="B17" s="23" t="s">
        <v>828</v>
      </c>
      <c r="C17" s="24" t="s">
        <v>23</v>
      </c>
      <c r="D17" s="25">
        <v>42</v>
      </c>
      <c r="E17" s="26">
        <f>91.26/117*100</f>
        <v>78</v>
      </c>
      <c r="F17" s="27">
        <f t="shared" si="0"/>
        <v>3276</v>
      </c>
      <c r="G17" s="27">
        <f>F17*0.17</f>
        <v>556.92000000000007</v>
      </c>
      <c r="H17" s="39">
        <f>E17*1.17</f>
        <v>91.259999999999991</v>
      </c>
      <c r="I17" s="27">
        <f t="shared" si="1"/>
        <v>3832.9199999999996</v>
      </c>
      <c r="J17" s="28"/>
    </row>
    <row r="18" spans="1:10" s="21" customFormat="1" x14ac:dyDescent="0.25">
      <c r="A18" s="22">
        <f t="shared" ref="A18:A41" si="2">A17+1</f>
        <v>3</v>
      </c>
      <c r="B18" s="23" t="s">
        <v>829</v>
      </c>
      <c r="C18" s="24" t="s">
        <v>23</v>
      </c>
      <c r="D18" s="25">
        <v>6</v>
      </c>
      <c r="E18" s="26">
        <v>5.85</v>
      </c>
      <c r="F18" s="27">
        <f t="shared" si="0"/>
        <v>35.099999999999994</v>
      </c>
      <c r="G18" s="27">
        <f>F18*0</f>
        <v>0</v>
      </c>
      <c r="H18" s="39">
        <f>E18*1</f>
        <v>5.85</v>
      </c>
      <c r="I18" s="27">
        <f t="shared" si="1"/>
        <v>35.099999999999994</v>
      </c>
      <c r="J18" s="28"/>
    </row>
    <row r="19" spans="1:10" s="21" customFormat="1" x14ac:dyDescent="0.25">
      <c r="A19" s="22">
        <f t="shared" si="2"/>
        <v>4</v>
      </c>
      <c r="B19" s="23" t="s">
        <v>830</v>
      </c>
      <c r="C19" s="24" t="s">
        <v>23</v>
      </c>
      <c r="D19" s="25">
        <v>2</v>
      </c>
      <c r="E19" s="26">
        <f>292.5/117*100</f>
        <v>250</v>
      </c>
      <c r="F19" s="27">
        <f t="shared" si="0"/>
        <v>500</v>
      </c>
      <c r="G19" s="27">
        <f>F19*0.17</f>
        <v>85</v>
      </c>
      <c r="H19" s="39">
        <f>E19*1.17</f>
        <v>292.5</v>
      </c>
      <c r="I19" s="27">
        <f t="shared" si="1"/>
        <v>585</v>
      </c>
      <c r="J19" s="28"/>
    </row>
    <row r="20" spans="1:10" s="21" customFormat="1" x14ac:dyDescent="0.25">
      <c r="A20" s="22">
        <f t="shared" si="2"/>
        <v>5</v>
      </c>
      <c r="B20" s="23" t="s">
        <v>831</v>
      </c>
      <c r="C20" s="24" t="s">
        <v>23</v>
      </c>
      <c r="D20" s="25">
        <v>5</v>
      </c>
      <c r="E20" s="26">
        <f>140.4/117*100</f>
        <v>120</v>
      </c>
      <c r="F20" s="27">
        <f t="shared" si="0"/>
        <v>600</v>
      </c>
      <c r="G20" s="27">
        <f>F20*0.17</f>
        <v>102.00000000000001</v>
      </c>
      <c r="H20" s="39">
        <f>E20*1.17</f>
        <v>140.39999999999998</v>
      </c>
      <c r="I20" s="27">
        <f t="shared" si="1"/>
        <v>701.99999999999989</v>
      </c>
      <c r="J20" s="28"/>
    </row>
    <row r="21" spans="1:10" s="21" customFormat="1" x14ac:dyDescent="0.25">
      <c r="A21" s="22">
        <f t="shared" si="2"/>
        <v>6</v>
      </c>
      <c r="B21" s="23" t="s">
        <v>832</v>
      </c>
      <c r="C21" s="24" t="s">
        <v>76</v>
      </c>
      <c r="D21" s="25">
        <v>2</v>
      </c>
      <c r="E21" s="26">
        <v>90</v>
      </c>
      <c r="F21" s="27">
        <f t="shared" si="0"/>
        <v>180</v>
      </c>
      <c r="G21" s="27">
        <f>F21*0</f>
        <v>0</v>
      </c>
      <c r="H21" s="39">
        <f>E21*1</f>
        <v>90</v>
      </c>
      <c r="I21" s="27">
        <f t="shared" si="1"/>
        <v>180</v>
      </c>
      <c r="J21" s="28"/>
    </row>
    <row r="22" spans="1:10" s="21" customFormat="1" ht="25.5" x14ac:dyDescent="0.25">
      <c r="A22" s="22">
        <f t="shared" si="2"/>
        <v>7</v>
      </c>
      <c r="B22" s="23" t="s">
        <v>833</v>
      </c>
      <c r="C22" s="24" t="s">
        <v>23</v>
      </c>
      <c r="D22" s="25">
        <v>44</v>
      </c>
      <c r="E22" s="26">
        <v>25</v>
      </c>
      <c r="F22" s="27">
        <f t="shared" si="0"/>
        <v>1100</v>
      </c>
      <c r="G22" s="27">
        <f>F22*0</f>
        <v>0</v>
      </c>
      <c r="H22" s="39">
        <f>E22*1</f>
        <v>25</v>
      </c>
      <c r="I22" s="27">
        <f t="shared" si="1"/>
        <v>1100</v>
      </c>
      <c r="J22" s="28"/>
    </row>
    <row r="23" spans="1:10" s="21" customFormat="1" x14ac:dyDescent="0.25">
      <c r="A23" s="22">
        <f t="shared" si="2"/>
        <v>8</v>
      </c>
      <c r="B23" s="23" t="s">
        <v>834</v>
      </c>
      <c r="C23" s="24" t="s">
        <v>23</v>
      </c>
      <c r="D23" s="25">
        <v>36</v>
      </c>
      <c r="E23" s="26">
        <f>25.74/117*100</f>
        <v>21.999999999999996</v>
      </c>
      <c r="F23" s="27">
        <f t="shared" si="0"/>
        <v>791.99999999999989</v>
      </c>
      <c r="G23" s="27">
        <f>F23*0.17</f>
        <v>134.63999999999999</v>
      </c>
      <c r="H23" s="39">
        <f>E23*1.17</f>
        <v>25.739999999999995</v>
      </c>
      <c r="I23" s="27">
        <f t="shared" si="1"/>
        <v>926.63999999999987</v>
      </c>
      <c r="J23" s="28"/>
    </row>
    <row r="24" spans="1:10" s="21" customFormat="1" ht="38.25" x14ac:dyDescent="0.25">
      <c r="A24" s="22">
        <f t="shared" si="2"/>
        <v>9</v>
      </c>
      <c r="B24" s="23" t="s">
        <v>835</v>
      </c>
      <c r="C24" s="24" t="s">
        <v>23</v>
      </c>
      <c r="D24" s="25">
        <v>24</v>
      </c>
      <c r="E24" s="26">
        <f>14.04/117*100</f>
        <v>12</v>
      </c>
      <c r="F24" s="27">
        <f t="shared" si="0"/>
        <v>288</v>
      </c>
      <c r="G24" s="27">
        <f>F24*0.17</f>
        <v>48.96</v>
      </c>
      <c r="H24" s="39">
        <f>E24*1.17</f>
        <v>14.04</v>
      </c>
      <c r="I24" s="27">
        <f t="shared" si="1"/>
        <v>336.96</v>
      </c>
      <c r="J24" s="28"/>
    </row>
    <row r="25" spans="1:10" s="21" customFormat="1" ht="25.5" x14ac:dyDescent="0.25">
      <c r="A25" s="22">
        <f t="shared" si="2"/>
        <v>10</v>
      </c>
      <c r="B25" s="23" t="s">
        <v>836</v>
      </c>
      <c r="C25" s="24" t="s">
        <v>23</v>
      </c>
      <c r="D25" s="25">
        <v>15</v>
      </c>
      <c r="E25" s="26">
        <v>80</v>
      </c>
      <c r="F25" s="27">
        <f t="shared" si="0"/>
        <v>1200</v>
      </c>
      <c r="G25" s="27">
        <f>F25*0</f>
        <v>0</v>
      </c>
      <c r="H25" s="39">
        <f>E25*1</f>
        <v>80</v>
      </c>
      <c r="I25" s="27">
        <f t="shared" si="1"/>
        <v>1200</v>
      </c>
      <c r="J25" s="28"/>
    </row>
    <row r="26" spans="1:10" s="21" customFormat="1" ht="25.5" x14ac:dyDescent="0.25">
      <c r="A26" s="22">
        <f t="shared" si="2"/>
        <v>11</v>
      </c>
      <c r="B26" s="23" t="s">
        <v>846</v>
      </c>
      <c r="C26" s="24" t="s">
        <v>269</v>
      </c>
      <c r="D26" s="25">
        <v>30</v>
      </c>
      <c r="E26" s="26">
        <f>575/117*100</f>
        <v>491.45299145299145</v>
      </c>
      <c r="F26" s="27">
        <f t="shared" si="0"/>
        <v>14743.589743589744</v>
      </c>
      <c r="G26" s="27">
        <f>F26*0.17</f>
        <v>2506.4102564102568</v>
      </c>
      <c r="H26" s="39">
        <f>E26*1.17</f>
        <v>575</v>
      </c>
      <c r="I26" s="27">
        <f t="shared" si="1"/>
        <v>17250</v>
      </c>
      <c r="J26" s="28"/>
    </row>
    <row r="27" spans="1:10" s="21" customFormat="1" x14ac:dyDescent="0.25">
      <c r="A27" s="22">
        <f t="shared" si="2"/>
        <v>12</v>
      </c>
      <c r="B27" s="23" t="s">
        <v>837</v>
      </c>
      <c r="C27" s="24" t="s">
        <v>166</v>
      </c>
      <c r="D27" s="25">
        <v>4</v>
      </c>
      <c r="E27" s="26">
        <f>25.74/117*100</f>
        <v>21.999999999999996</v>
      </c>
      <c r="F27" s="27">
        <f t="shared" si="0"/>
        <v>87.999999999999986</v>
      </c>
      <c r="G27" s="27">
        <f>F27*0.17</f>
        <v>14.959999999999999</v>
      </c>
      <c r="H27" s="39">
        <f>E27*1.17</f>
        <v>25.739999999999995</v>
      </c>
      <c r="I27" s="27">
        <f t="shared" si="1"/>
        <v>102.95999999999998</v>
      </c>
      <c r="J27" s="28"/>
    </row>
    <row r="28" spans="1:10" s="21" customFormat="1" x14ac:dyDescent="0.25">
      <c r="A28" s="22">
        <f t="shared" si="2"/>
        <v>13</v>
      </c>
      <c r="B28" s="23" t="s">
        <v>838</v>
      </c>
      <c r="C28" s="24" t="s">
        <v>23</v>
      </c>
      <c r="D28" s="25">
        <v>7</v>
      </c>
      <c r="E28" s="26">
        <v>8.19</v>
      </c>
      <c r="F28" s="27">
        <f t="shared" si="0"/>
        <v>57.33</v>
      </c>
      <c r="G28" s="27">
        <v>0</v>
      </c>
      <c r="H28" s="39">
        <f>E28*1</f>
        <v>8.19</v>
      </c>
      <c r="I28" s="27">
        <f t="shared" si="1"/>
        <v>57.33</v>
      </c>
      <c r="J28" s="28"/>
    </row>
    <row r="29" spans="1:10" s="21" customFormat="1" ht="25.5" x14ac:dyDescent="0.25">
      <c r="A29" s="22">
        <f t="shared" si="2"/>
        <v>14</v>
      </c>
      <c r="B29" s="23" t="s">
        <v>839</v>
      </c>
      <c r="C29" s="24" t="s">
        <v>23</v>
      </c>
      <c r="D29" s="25">
        <v>22</v>
      </c>
      <c r="E29" s="26">
        <f>35.1/117*100</f>
        <v>30</v>
      </c>
      <c r="F29" s="27">
        <f t="shared" si="0"/>
        <v>660</v>
      </c>
      <c r="G29" s="27">
        <f t="shared" ref="G29:G41" si="3">F29*0.17</f>
        <v>112.2</v>
      </c>
      <c r="H29" s="39">
        <f t="shared" ref="H29:H41" si="4">E29*1.17</f>
        <v>35.099999999999994</v>
      </c>
      <c r="I29" s="27">
        <f t="shared" si="1"/>
        <v>772.19999999999982</v>
      </c>
      <c r="J29" s="28"/>
    </row>
    <row r="30" spans="1:10" s="21" customFormat="1" x14ac:dyDescent="0.25">
      <c r="A30" s="22">
        <f t="shared" si="2"/>
        <v>15</v>
      </c>
      <c r="B30" s="23" t="s">
        <v>840</v>
      </c>
      <c r="C30" s="24" t="s">
        <v>23</v>
      </c>
      <c r="D30" s="25">
        <v>8</v>
      </c>
      <c r="E30" s="26">
        <f>30/117*100</f>
        <v>25.641025641025639</v>
      </c>
      <c r="F30" s="27">
        <f t="shared" si="0"/>
        <v>205.12820512820511</v>
      </c>
      <c r="G30" s="27">
        <f t="shared" si="3"/>
        <v>34.871794871794869</v>
      </c>
      <c r="H30" s="39">
        <f t="shared" si="4"/>
        <v>29.999999999999996</v>
      </c>
      <c r="I30" s="27">
        <f t="shared" si="1"/>
        <v>239.99999999999997</v>
      </c>
      <c r="J30" s="28"/>
    </row>
    <row r="31" spans="1:10" s="21" customFormat="1" ht="25.5" x14ac:dyDescent="0.25">
      <c r="A31" s="22">
        <f t="shared" si="2"/>
        <v>16</v>
      </c>
      <c r="B31" s="23" t="s">
        <v>841</v>
      </c>
      <c r="C31" s="24" t="s">
        <v>23</v>
      </c>
      <c r="D31" s="25">
        <v>12</v>
      </c>
      <c r="E31" s="26">
        <f>23.4/117*100</f>
        <v>20</v>
      </c>
      <c r="F31" s="27">
        <f t="shared" si="0"/>
        <v>240</v>
      </c>
      <c r="G31" s="27">
        <f t="shared" si="3"/>
        <v>40.800000000000004</v>
      </c>
      <c r="H31" s="39">
        <f t="shared" si="4"/>
        <v>23.4</v>
      </c>
      <c r="I31" s="27">
        <f t="shared" si="1"/>
        <v>280.79999999999995</v>
      </c>
      <c r="J31" s="28"/>
    </row>
    <row r="32" spans="1:10" s="21" customFormat="1" x14ac:dyDescent="0.25">
      <c r="A32" s="22">
        <f t="shared" si="2"/>
        <v>17</v>
      </c>
      <c r="B32" s="23" t="s">
        <v>842</v>
      </c>
      <c r="C32" s="24" t="s">
        <v>23</v>
      </c>
      <c r="D32" s="25">
        <v>1</v>
      </c>
      <c r="E32" s="26">
        <f>140.4/117*100</f>
        <v>120</v>
      </c>
      <c r="F32" s="27">
        <f t="shared" si="0"/>
        <v>120</v>
      </c>
      <c r="G32" s="27">
        <f t="shared" si="3"/>
        <v>20.400000000000002</v>
      </c>
      <c r="H32" s="39">
        <f t="shared" si="4"/>
        <v>140.39999999999998</v>
      </c>
      <c r="I32" s="27">
        <f t="shared" si="1"/>
        <v>140.39999999999998</v>
      </c>
      <c r="J32" s="28"/>
    </row>
    <row r="33" spans="1:10" s="21" customFormat="1" x14ac:dyDescent="0.25">
      <c r="A33" s="22">
        <f t="shared" si="2"/>
        <v>18</v>
      </c>
      <c r="B33" s="23" t="s">
        <v>843</v>
      </c>
      <c r="C33" s="24" t="s">
        <v>23</v>
      </c>
      <c r="D33" s="25">
        <v>30</v>
      </c>
      <c r="E33" s="26">
        <f>29.25/117*100</f>
        <v>25</v>
      </c>
      <c r="F33" s="27">
        <f t="shared" si="0"/>
        <v>750</v>
      </c>
      <c r="G33" s="27">
        <f t="shared" si="3"/>
        <v>127.50000000000001</v>
      </c>
      <c r="H33" s="39">
        <f t="shared" si="4"/>
        <v>29.25</v>
      </c>
      <c r="I33" s="27">
        <f t="shared" si="1"/>
        <v>877.5</v>
      </c>
      <c r="J33" s="28"/>
    </row>
    <row r="34" spans="1:10" s="21" customFormat="1" x14ac:dyDescent="0.25">
      <c r="A34" s="22">
        <f t="shared" si="2"/>
        <v>19</v>
      </c>
      <c r="B34" s="23" t="s">
        <v>844</v>
      </c>
      <c r="C34" s="24" t="s">
        <v>23</v>
      </c>
      <c r="D34" s="25">
        <v>3</v>
      </c>
      <c r="E34" s="26">
        <f>37.44/117*100</f>
        <v>32</v>
      </c>
      <c r="F34" s="27">
        <f t="shared" si="0"/>
        <v>96</v>
      </c>
      <c r="G34" s="27">
        <f t="shared" si="3"/>
        <v>16.32</v>
      </c>
      <c r="H34" s="39">
        <f t="shared" si="4"/>
        <v>37.44</v>
      </c>
      <c r="I34" s="27">
        <f t="shared" si="1"/>
        <v>112.32</v>
      </c>
      <c r="J34" s="28"/>
    </row>
    <row r="35" spans="1:10" s="21" customFormat="1" x14ac:dyDescent="0.25">
      <c r="A35" s="22">
        <f t="shared" si="2"/>
        <v>20</v>
      </c>
      <c r="B35" s="23" t="s">
        <v>845</v>
      </c>
      <c r="C35" s="24" t="s">
        <v>23</v>
      </c>
      <c r="D35" s="25">
        <v>2</v>
      </c>
      <c r="E35" s="26">
        <f>40.95/117*100</f>
        <v>35</v>
      </c>
      <c r="F35" s="27">
        <f t="shared" si="0"/>
        <v>70</v>
      </c>
      <c r="G35" s="27">
        <f t="shared" si="3"/>
        <v>11.9</v>
      </c>
      <c r="H35" s="39">
        <f t="shared" si="4"/>
        <v>40.949999999999996</v>
      </c>
      <c r="I35" s="27">
        <f t="shared" si="1"/>
        <v>81.899999999999991</v>
      </c>
      <c r="J35" s="28"/>
    </row>
    <row r="36" spans="1:10" s="21" customFormat="1" x14ac:dyDescent="0.25">
      <c r="A36" s="22">
        <f t="shared" si="2"/>
        <v>21</v>
      </c>
      <c r="B36" s="23" t="s">
        <v>847</v>
      </c>
      <c r="C36" s="24" t="s">
        <v>23</v>
      </c>
      <c r="D36" s="25">
        <v>20</v>
      </c>
      <c r="E36" s="26">
        <f>21.06/117*100</f>
        <v>18</v>
      </c>
      <c r="F36" s="27">
        <f t="shared" si="0"/>
        <v>360</v>
      </c>
      <c r="G36" s="27">
        <f t="shared" si="3"/>
        <v>61.2</v>
      </c>
      <c r="H36" s="39">
        <f t="shared" si="4"/>
        <v>21.06</v>
      </c>
      <c r="I36" s="27">
        <f t="shared" si="1"/>
        <v>421.2</v>
      </c>
      <c r="J36" s="28"/>
    </row>
    <row r="37" spans="1:10" s="21" customFormat="1" x14ac:dyDescent="0.25">
      <c r="A37" s="22">
        <f t="shared" si="2"/>
        <v>22</v>
      </c>
      <c r="B37" s="23" t="s">
        <v>70</v>
      </c>
      <c r="C37" s="24" t="s">
        <v>23</v>
      </c>
      <c r="D37" s="25">
        <v>2</v>
      </c>
      <c r="E37" s="26">
        <f>35.1/117*100</f>
        <v>30</v>
      </c>
      <c r="F37" s="27">
        <f t="shared" si="0"/>
        <v>60</v>
      </c>
      <c r="G37" s="27">
        <f t="shared" si="3"/>
        <v>10.200000000000001</v>
      </c>
      <c r="H37" s="39">
        <f t="shared" si="4"/>
        <v>35.099999999999994</v>
      </c>
      <c r="I37" s="27">
        <f t="shared" si="1"/>
        <v>70.199999999999989</v>
      </c>
      <c r="J37" s="28"/>
    </row>
    <row r="38" spans="1:10" s="21" customFormat="1" x14ac:dyDescent="0.25">
      <c r="A38" s="22">
        <f t="shared" si="2"/>
        <v>23</v>
      </c>
      <c r="B38" s="23" t="s">
        <v>848</v>
      </c>
      <c r="C38" s="24" t="s">
        <v>23</v>
      </c>
      <c r="D38" s="25">
        <v>2</v>
      </c>
      <c r="E38" s="26">
        <f>280.8/117*100</f>
        <v>240</v>
      </c>
      <c r="F38" s="27">
        <f t="shared" si="0"/>
        <v>480</v>
      </c>
      <c r="G38" s="27">
        <f t="shared" si="3"/>
        <v>81.600000000000009</v>
      </c>
      <c r="H38" s="39">
        <f t="shared" si="4"/>
        <v>280.79999999999995</v>
      </c>
      <c r="I38" s="27">
        <f t="shared" si="1"/>
        <v>561.59999999999991</v>
      </c>
      <c r="J38" s="28"/>
    </row>
    <row r="39" spans="1:10" s="21" customFormat="1" x14ac:dyDescent="0.25">
      <c r="A39" s="22">
        <f t="shared" si="2"/>
        <v>24</v>
      </c>
      <c r="B39" s="23" t="s">
        <v>849</v>
      </c>
      <c r="C39" s="24" t="s">
        <v>23</v>
      </c>
      <c r="D39" s="25">
        <v>8</v>
      </c>
      <c r="E39" s="26">
        <f>44/117*100</f>
        <v>37.606837606837608</v>
      </c>
      <c r="F39" s="27">
        <f t="shared" si="0"/>
        <v>300.85470085470087</v>
      </c>
      <c r="G39" s="27">
        <f t="shared" si="3"/>
        <v>51.145299145299148</v>
      </c>
      <c r="H39" s="39">
        <f t="shared" si="4"/>
        <v>44</v>
      </c>
      <c r="I39" s="27">
        <f t="shared" si="1"/>
        <v>352</v>
      </c>
      <c r="J39" s="28"/>
    </row>
    <row r="40" spans="1:10" s="21" customFormat="1" x14ac:dyDescent="0.25">
      <c r="A40" s="22">
        <f t="shared" si="2"/>
        <v>25</v>
      </c>
      <c r="B40" s="23" t="s">
        <v>850</v>
      </c>
      <c r="C40" s="24" t="s">
        <v>23</v>
      </c>
      <c r="D40" s="25">
        <v>1</v>
      </c>
      <c r="E40" s="26">
        <f>169.65/117*100</f>
        <v>145</v>
      </c>
      <c r="F40" s="27">
        <f t="shared" si="0"/>
        <v>145</v>
      </c>
      <c r="G40" s="27">
        <f t="shared" si="3"/>
        <v>24.650000000000002</v>
      </c>
      <c r="H40" s="39">
        <f t="shared" si="4"/>
        <v>169.64999999999998</v>
      </c>
      <c r="I40" s="27">
        <f t="shared" si="1"/>
        <v>169.64999999999998</v>
      </c>
      <c r="J40" s="28"/>
    </row>
    <row r="41" spans="1:10" s="21" customFormat="1" x14ac:dyDescent="0.25">
      <c r="A41" s="22">
        <f t="shared" si="2"/>
        <v>26</v>
      </c>
      <c r="B41" s="23" t="s">
        <v>851</v>
      </c>
      <c r="C41" s="24" t="s">
        <v>23</v>
      </c>
      <c r="D41" s="25">
        <v>8</v>
      </c>
      <c r="E41" s="26">
        <f>25/117*100</f>
        <v>21.367521367521366</v>
      </c>
      <c r="F41" s="27">
        <f t="shared" si="0"/>
        <v>170.94017094017093</v>
      </c>
      <c r="G41" s="27">
        <f t="shared" si="3"/>
        <v>29.05982905982906</v>
      </c>
      <c r="H41" s="39">
        <f t="shared" si="4"/>
        <v>24.999999999999996</v>
      </c>
      <c r="I41" s="27">
        <f t="shared" si="1"/>
        <v>199.99999999999997</v>
      </c>
      <c r="J41" s="28"/>
    </row>
    <row r="42" spans="1:10" ht="15.75" thickBot="1" x14ac:dyDescent="0.3">
      <c r="A42" s="33"/>
      <c r="B42" s="34" t="s">
        <v>24</v>
      </c>
      <c r="C42" s="35"/>
      <c r="D42" s="36">
        <f>SUM(D16:D41)</f>
        <v>361</v>
      </c>
      <c r="E42" s="35"/>
      <c r="F42" s="36">
        <f>SUM(F16:F41)</f>
        <v>28267.942820512824</v>
      </c>
      <c r="G42" s="36">
        <f>SUM(G16:G41)</f>
        <v>4070.7371794871801</v>
      </c>
      <c r="H42" s="35"/>
      <c r="I42" s="36">
        <f>SUM(I16:I41)</f>
        <v>32338.680000000004</v>
      </c>
      <c r="J42" s="37"/>
    </row>
    <row r="43" spans="1:10" ht="15.75" thickTop="1" x14ac:dyDescent="0.25">
      <c r="A43" s="33"/>
      <c r="B43" s="34" t="s">
        <v>852</v>
      </c>
      <c r="C43" s="35"/>
      <c r="D43" s="35"/>
      <c r="E43" s="35"/>
      <c r="F43" s="35"/>
      <c r="G43" s="35"/>
      <c r="H43" s="35"/>
      <c r="I43" s="35"/>
      <c r="J43" s="37"/>
    </row>
    <row r="44" spans="1:10" x14ac:dyDescent="0.25">
      <c r="A44" s="33"/>
      <c r="B44" s="38" t="s">
        <v>25</v>
      </c>
      <c r="C44" s="35"/>
      <c r="D44" s="35"/>
      <c r="E44" s="35"/>
      <c r="F44" s="35"/>
      <c r="G44" s="35"/>
      <c r="H44" s="35"/>
      <c r="I44" s="35"/>
      <c r="J44" s="37"/>
    </row>
    <row r="45" spans="1:10" ht="30" customHeight="1" x14ac:dyDescent="0.25">
      <c r="B45" s="183" t="s">
        <v>26</v>
      </c>
      <c r="C45" s="183"/>
      <c r="D45" s="183"/>
      <c r="E45" s="183"/>
      <c r="F45" s="183"/>
      <c r="G45" s="183"/>
      <c r="H45" s="183"/>
      <c r="I45" s="183"/>
      <c r="J45" s="183"/>
    </row>
    <row r="46" spans="1:10" x14ac:dyDescent="0.25">
      <c r="B46" t="s">
        <v>27</v>
      </c>
    </row>
    <row r="48" spans="1:10" x14ac:dyDescent="0.25">
      <c r="B48" t="s">
        <v>28</v>
      </c>
      <c r="H48" t="s">
        <v>28</v>
      </c>
    </row>
    <row r="49" spans="2:8" x14ac:dyDescent="0.25">
      <c r="B49" t="s">
        <v>29</v>
      </c>
      <c r="H49" t="s">
        <v>30</v>
      </c>
    </row>
  </sheetData>
  <mergeCells count="5">
    <mergeCell ref="A6:J6"/>
    <mergeCell ref="I7:J7"/>
    <mergeCell ref="I8:J8"/>
    <mergeCell ref="I9:J9"/>
    <mergeCell ref="B45:J45"/>
  </mergeCells>
  <hyperlinks>
    <hyperlink ref="H5" r:id="rId1" xr:uid="{00000000-0004-0000-0100-000000000000}"/>
  </hyperlinks>
  <pageMargins left="0.2" right="0.1" top="0.25" bottom="0.25" header="0.3" footer="0.3"/>
  <pageSetup paperSize="9" orientation="portrait" r:id="rId2"/>
  <drawing r:id="rId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39"/>
  <sheetViews>
    <sheetView workbookViewId="0">
      <selection activeCell="B18" sqref="B1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807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808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809</v>
      </c>
      <c r="C16" s="24" t="s">
        <v>76</v>
      </c>
      <c r="D16" s="25">
        <v>2</v>
      </c>
      <c r="E16" s="26">
        <f>134.6/117*100</f>
        <v>115.04273504273503</v>
      </c>
      <c r="F16" s="27">
        <f t="shared" ref="F16:F31" si="0">D16*E16</f>
        <v>230.08547008547006</v>
      </c>
      <c r="G16" s="27">
        <f t="shared" ref="G16:G31" si="1">F16*0.17</f>
        <v>39.114529914529911</v>
      </c>
      <c r="H16" s="39">
        <f t="shared" ref="H16:H31" si="2">E16*1.17</f>
        <v>134.59999999999997</v>
      </c>
      <c r="I16" s="27">
        <f t="shared" ref="I16:I31" si="3">H16*D16</f>
        <v>269.19999999999993</v>
      </c>
      <c r="J16" s="28"/>
    </row>
    <row r="17" spans="1:10" s="21" customFormat="1" ht="38.25" x14ac:dyDescent="0.25">
      <c r="A17" s="22">
        <f>A16+1</f>
        <v>2</v>
      </c>
      <c r="B17" s="23" t="s">
        <v>810</v>
      </c>
      <c r="C17" s="24" t="s">
        <v>825</v>
      </c>
      <c r="D17" s="25">
        <v>52</v>
      </c>
      <c r="E17" s="26">
        <f>58/117*100</f>
        <v>49.572649572649574</v>
      </c>
      <c r="F17" s="27">
        <f t="shared" si="0"/>
        <v>2577.7777777777778</v>
      </c>
      <c r="G17" s="27">
        <f t="shared" si="1"/>
        <v>438.22222222222229</v>
      </c>
      <c r="H17" s="39">
        <f t="shared" si="2"/>
        <v>58</v>
      </c>
      <c r="I17" s="27">
        <f t="shared" si="3"/>
        <v>3016</v>
      </c>
      <c r="J17" s="28"/>
    </row>
    <row r="18" spans="1:10" s="21" customFormat="1" ht="51" x14ac:dyDescent="0.25">
      <c r="A18" s="22">
        <f t="shared" ref="A18:A31" si="4">A17+1</f>
        <v>3</v>
      </c>
      <c r="B18" s="23" t="s">
        <v>811</v>
      </c>
      <c r="C18" s="24" t="s">
        <v>76</v>
      </c>
      <c r="D18" s="25">
        <v>10</v>
      </c>
      <c r="E18" s="26">
        <f>128.7/117*100</f>
        <v>109.99999999999999</v>
      </c>
      <c r="F18" s="27">
        <f t="shared" si="0"/>
        <v>1099.9999999999998</v>
      </c>
      <c r="G18" s="27">
        <f t="shared" si="1"/>
        <v>186.99999999999997</v>
      </c>
      <c r="H18" s="39">
        <f t="shared" si="2"/>
        <v>128.69999999999999</v>
      </c>
      <c r="I18" s="27">
        <f t="shared" si="3"/>
        <v>1287</v>
      </c>
      <c r="J18" s="28"/>
    </row>
    <row r="19" spans="1:10" s="21" customFormat="1" ht="25.5" x14ac:dyDescent="0.25">
      <c r="A19" s="22">
        <f t="shared" si="4"/>
        <v>4</v>
      </c>
      <c r="B19" s="23" t="s">
        <v>812</v>
      </c>
      <c r="C19" s="24" t="s">
        <v>23</v>
      </c>
      <c r="D19" s="25">
        <v>8</v>
      </c>
      <c r="E19" s="26">
        <f>140.4/117*100</f>
        <v>120</v>
      </c>
      <c r="F19" s="27">
        <f t="shared" si="0"/>
        <v>960</v>
      </c>
      <c r="G19" s="27">
        <f t="shared" si="1"/>
        <v>163.20000000000002</v>
      </c>
      <c r="H19" s="39">
        <f t="shared" si="2"/>
        <v>140.39999999999998</v>
      </c>
      <c r="I19" s="27">
        <f t="shared" si="3"/>
        <v>1123.1999999999998</v>
      </c>
      <c r="J19" s="28"/>
    </row>
    <row r="20" spans="1:10" s="21" customFormat="1" ht="25.5" x14ac:dyDescent="0.25">
      <c r="A20" s="22">
        <f t="shared" si="4"/>
        <v>5</v>
      </c>
      <c r="B20" s="23" t="s">
        <v>813</v>
      </c>
      <c r="C20" s="24" t="s">
        <v>23</v>
      </c>
      <c r="D20" s="25">
        <v>3</v>
      </c>
      <c r="E20" s="26">
        <f>234/117*100</f>
        <v>200</v>
      </c>
      <c r="F20" s="27">
        <f t="shared" si="0"/>
        <v>600</v>
      </c>
      <c r="G20" s="27">
        <f t="shared" si="1"/>
        <v>102.00000000000001</v>
      </c>
      <c r="H20" s="39">
        <f t="shared" si="2"/>
        <v>234</v>
      </c>
      <c r="I20" s="27">
        <f t="shared" si="3"/>
        <v>702</v>
      </c>
      <c r="J20" s="28"/>
    </row>
    <row r="21" spans="1:10" s="21" customFormat="1" ht="25.5" x14ac:dyDescent="0.25">
      <c r="A21" s="22">
        <f t="shared" si="4"/>
        <v>6</v>
      </c>
      <c r="B21" s="23" t="s">
        <v>814</v>
      </c>
      <c r="C21" s="24" t="s">
        <v>23</v>
      </c>
      <c r="D21" s="25">
        <v>2</v>
      </c>
      <c r="E21" s="26">
        <f>180/117*100</f>
        <v>153.84615384615387</v>
      </c>
      <c r="F21" s="27">
        <f t="shared" si="0"/>
        <v>307.69230769230774</v>
      </c>
      <c r="G21" s="27">
        <f t="shared" si="1"/>
        <v>52.307692307692321</v>
      </c>
      <c r="H21" s="39">
        <f t="shared" si="2"/>
        <v>180.00000000000003</v>
      </c>
      <c r="I21" s="27">
        <f t="shared" si="3"/>
        <v>360.00000000000006</v>
      </c>
      <c r="J21" s="28"/>
    </row>
    <row r="22" spans="1:10" s="21" customFormat="1" ht="51" x14ac:dyDescent="0.25">
      <c r="A22" s="22">
        <f t="shared" si="4"/>
        <v>7</v>
      </c>
      <c r="B22" s="23" t="s">
        <v>815</v>
      </c>
      <c r="C22" s="24" t="s">
        <v>23</v>
      </c>
      <c r="D22" s="25">
        <v>2</v>
      </c>
      <c r="E22" s="26">
        <f>23.4/117*100</f>
        <v>20</v>
      </c>
      <c r="F22" s="27">
        <f t="shared" si="0"/>
        <v>40</v>
      </c>
      <c r="G22" s="27">
        <f t="shared" si="1"/>
        <v>6.8000000000000007</v>
      </c>
      <c r="H22" s="39">
        <f t="shared" si="2"/>
        <v>23.4</v>
      </c>
      <c r="I22" s="27">
        <f t="shared" si="3"/>
        <v>46.8</v>
      </c>
      <c r="J22" s="28"/>
    </row>
    <row r="23" spans="1:10" s="21" customFormat="1" ht="25.5" x14ac:dyDescent="0.25">
      <c r="A23" s="22">
        <f t="shared" si="4"/>
        <v>8</v>
      </c>
      <c r="B23" s="23" t="s">
        <v>816</v>
      </c>
      <c r="C23" s="24" t="s">
        <v>193</v>
      </c>
      <c r="D23" s="25">
        <v>3</v>
      </c>
      <c r="E23" s="26">
        <f>409.5/117*100</f>
        <v>350</v>
      </c>
      <c r="F23" s="27">
        <f t="shared" si="0"/>
        <v>1050</v>
      </c>
      <c r="G23" s="27">
        <f t="shared" si="1"/>
        <v>178.5</v>
      </c>
      <c r="H23" s="39">
        <f t="shared" si="2"/>
        <v>409.5</v>
      </c>
      <c r="I23" s="27">
        <f t="shared" si="3"/>
        <v>1228.5</v>
      </c>
      <c r="J23" s="28"/>
    </row>
    <row r="24" spans="1:10" s="21" customFormat="1" ht="51" x14ac:dyDescent="0.25">
      <c r="A24" s="22">
        <f t="shared" si="4"/>
        <v>9</v>
      </c>
      <c r="B24" s="23" t="s">
        <v>817</v>
      </c>
      <c r="C24" s="24" t="s">
        <v>193</v>
      </c>
      <c r="D24" s="25">
        <v>3</v>
      </c>
      <c r="E24" s="26">
        <f>210.6/117*100</f>
        <v>180</v>
      </c>
      <c r="F24" s="27">
        <f t="shared" si="0"/>
        <v>540</v>
      </c>
      <c r="G24" s="27">
        <f t="shared" si="1"/>
        <v>91.800000000000011</v>
      </c>
      <c r="H24" s="39">
        <f t="shared" si="2"/>
        <v>210.6</v>
      </c>
      <c r="I24" s="27">
        <f t="shared" si="3"/>
        <v>631.79999999999995</v>
      </c>
      <c r="J24" s="28"/>
    </row>
    <row r="25" spans="1:10" s="21" customFormat="1" ht="25.5" x14ac:dyDescent="0.25">
      <c r="A25" s="22">
        <f t="shared" si="4"/>
        <v>10</v>
      </c>
      <c r="B25" s="23" t="s">
        <v>818</v>
      </c>
      <c r="C25" s="24" t="s">
        <v>23</v>
      </c>
      <c r="D25" s="25">
        <v>1</v>
      </c>
      <c r="E25" s="26">
        <f>351/117*100</f>
        <v>300</v>
      </c>
      <c r="F25" s="27">
        <f t="shared" si="0"/>
        <v>300</v>
      </c>
      <c r="G25" s="27">
        <f t="shared" si="1"/>
        <v>51.000000000000007</v>
      </c>
      <c r="H25" s="39">
        <f t="shared" si="2"/>
        <v>351</v>
      </c>
      <c r="I25" s="27">
        <f t="shared" si="3"/>
        <v>351</v>
      </c>
      <c r="J25" s="28"/>
    </row>
    <row r="26" spans="1:10" s="21" customFormat="1" ht="25.5" x14ac:dyDescent="0.25">
      <c r="A26" s="22">
        <f t="shared" si="4"/>
        <v>11</v>
      </c>
      <c r="B26" s="23" t="s">
        <v>819</v>
      </c>
      <c r="C26" s="24" t="s">
        <v>23</v>
      </c>
      <c r="D26" s="25">
        <v>13</v>
      </c>
      <c r="E26" s="26">
        <f>105.3/117*100</f>
        <v>90</v>
      </c>
      <c r="F26" s="27">
        <f t="shared" si="0"/>
        <v>1170</v>
      </c>
      <c r="G26" s="27">
        <f t="shared" si="1"/>
        <v>198.9</v>
      </c>
      <c r="H26" s="39">
        <f t="shared" si="2"/>
        <v>105.3</v>
      </c>
      <c r="I26" s="27">
        <f t="shared" si="3"/>
        <v>1368.8999999999999</v>
      </c>
      <c r="J26" s="28"/>
    </row>
    <row r="27" spans="1:10" s="21" customFormat="1" ht="38.25" x14ac:dyDescent="0.25">
      <c r="A27" s="22">
        <f t="shared" si="4"/>
        <v>12</v>
      </c>
      <c r="B27" s="23" t="s">
        <v>820</v>
      </c>
      <c r="C27" s="24" t="s">
        <v>23</v>
      </c>
      <c r="D27" s="25">
        <v>6</v>
      </c>
      <c r="E27" s="26">
        <f>351/117*100</f>
        <v>300</v>
      </c>
      <c r="F27" s="27">
        <f t="shared" si="0"/>
        <v>1800</v>
      </c>
      <c r="G27" s="27">
        <f t="shared" si="1"/>
        <v>306</v>
      </c>
      <c r="H27" s="39">
        <f t="shared" si="2"/>
        <v>351</v>
      </c>
      <c r="I27" s="27">
        <f t="shared" si="3"/>
        <v>2106</v>
      </c>
      <c r="J27" s="28"/>
    </row>
    <row r="28" spans="1:10" s="21" customFormat="1" ht="25.5" x14ac:dyDescent="0.25">
      <c r="A28" s="22">
        <f t="shared" si="4"/>
        <v>13</v>
      </c>
      <c r="B28" s="23" t="s">
        <v>821</v>
      </c>
      <c r="C28" s="24" t="s">
        <v>23</v>
      </c>
      <c r="D28" s="25">
        <v>6</v>
      </c>
      <c r="E28" s="26">
        <f>175.5/117*100</f>
        <v>150</v>
      </c>
      <c r="F28" s="27">
        <f t="shared" si="0"/>
        <v>900</v>
      </c>
      <c r="G28" s="27">
        <f t="shared" si="1"/>
        <v>153</v>
      </c>
      <c r="H28" s="39">
        <f t="shared" si="2"/>
        <v>175.5</v>
      </c>
      <c r="I28" s="27">
        <f t="shared" si="3"/>
        <v>1053</v>
      </c>
      <c r="J28" s="28"/>
    </row>
    <row r="29" spans="1:10" s="21" customFormat="1" ht="25.5" x14ac:dyDescent="0.25">
      <c r="A29" s="22">
        <f t="shared" si="4"/>
        <v>14</v>
      </c>
      <c r="B29" s="23" t="s">
        <v>822</v>
      </c>
      <c r="C29" s="24" t="s">
        <v>23</v>
      </c>
      <c r="D29" s="25">
        <v>3</v>
      </c>
      <c r="E29" s="26">
        <f>140.4/117*100</f>
        <v>120</v>
      </c>
      <c r="F29" s="27">
        <f t="shared" si="0"/>
        <v>360</v>
      </c>
      <c r="G29" s="27">
        <f t="shared" si="1"/>
        <v>61.2</v>
      </c>
      <c r="H29" s="39">
        <f t="shared" si="2"/>
        <v>140.39999999999998</v>
      </c>
      <c r="I29" s="27">
        <f t="shared" si="3"/>
        <v>421.19999999999993</v>
      </c>
      <c r="J29" s="28"/>
    </row>
    <row r="30" spans="1:10" s="21" customFormat="1" ht="25.5" x14ac:dyDescent="0.25">
      <c r="A30" s="22">
        <f t="shared" si="4"/>
        <v>15</v>
      </c>
      <c r="B30" s="23" t="s">
        <v>823</v>
      </c>
      <c r="C30" s="24" t="s">
        <v>23</v>
      </c>
      <c r="D30" s="25">
        <v>2</v>
      </c>
      <c r="E30" s="26">
        <f>140.4/117*100</f>
        <v>120</v>
      </c>
      <c r="F30" s="27">
        <f t="shared" si="0"/>
        <v>240</v>
      </c>
      <c r="G30" s="27">
        <f t="shared" si="1"/>
        <v>40.800000000000004</v>
      </c>
      <c r="H30" s="39">
        <f t="shared" si="2"/>
        <v>140.39999999999998</v>
      </c>
      <c r="I30" s="27">
        <f t="shared" si="3"/>
        <v>280.79999999999995</v>
      </c>
      <c r="J30" s="28"/>
    </row>
    <row r="31" spans="1:10" s="21" customFormat="1" ht="25.5" x14ac:dyDescent="0.25">
      <c r="A31" s="22">
        <f t="shared" si="4"/>
        <v>16</v>
      </c>
      <c r="B31" s="23" t="s">
        <v>824</v>
      </c>
      <c r="C31" s="24" t="s">
        <v>23</v>
      </c>
      <c r="D31" s="25">
        <v>2</v>
      </c>
      <c r="E31" s="26">
        <f>150/117*100</f>
        <v>128.2051282051282</v>
      </c>
      <c r="F31" s="27">
        <f t="shared" si="0"/>
        <v>256.41025641025641</v>
      </c>
      <c r="G31" s="27">
        <f t="shared" si="1"/>
        <v>43.589743589743591</v>
      </c>
      <c r="H31" s="39">
        <f t="shared" si="2"/>
        <v>150</v>
      </c>
      <c r="I31" s="27">
        <f t="shared" si="3"/>
        <v>300</v>
      </c>
      <c r="J31" s="28"/>
    </row>
    <row r="32" spans="1:10" ht="15.75" thickBot="1" x14ac:dyDescent="0.3">
      <c r="A32" s="33"/>
      <c r="B32" s="34" t="s">
        <v>24</v>
      </c>
      <c r="C32" s="35"/>
      <c r="D32" s="36">
        <f>SUM(D16:D31)</f>
        <v>118</v>
      </c>
      <c r="E32" s="35"/>
      <c r="F32" s="36">
        <f>SUM(F16:F31)</f>
        <v>12431.965811965811</v>
      </c>
      <c r="G32" s="36">
        <f>SUM(G16:G31)</f>
        <v>2113.4341880341881</v>
      </c>
      <c r="H32" s="35"/>
      <c r="I32" s="36">
        <f>SUM(I16:I31)</f>
        <v>14545.4</v>
      </c>
      <c r="J32" s="37"/>
    </row>
    <row r="33" spans="1:10" ht="15.75" thickTop="1" x14ac:dyDescent="0.25">
      <c r="A33" s="33"/>
      <c r="B33" s="34" t="s">
        <v>853</v>
      </c>
      <c r="C33" s="35"/>
      <c r="D33" s="35"/>
      <c r="E33" s="35"/>
      <c r="F33" s="35"/>
      <c r="G33" s="35"/>
      <c r="H33" s="35"/>
      <c r="I33" s="35"/>
      <c r="J33" s="37"/>
    </row>
    <row r="34" spans="1:10" x14ac:dyDescent="0.25">
      <c r="A34" s="33"/>
      <c r="B34" s="38" t="s">
        <v>25</v>
      </c>
      <c r="C34" s="35"/>
      <c r="D34" s="35"/>
      <c r="E34" s="35"/>
      <c r="F34" s="35"/>
      <c r="G34" s="35"/>
      <c r="H34" s="35"/>
      <c r="I34" s="35"/>
      <c r="J34" s="37"/>
    </row>
    <row r="35" spans="1:10" ht="30" customHeight="1" x14ac:dyDescent="0.25">
      <c r="B35" s="183" t="s">
        <v>26</v>
      </c>
      <c r="C35" s="183"/>
      <c r="D35" s="183"/>
      <c r="E35" s="183"/>
      <c r="F35" s="183"/>
      <c r="G35" s="183"/>
      <c r="H35" s="183"/>
      <c r="I35" s="183"/>
      <c r="J35" s="183"/>
    </row>
    <row r="36" spans="1:10" x14ac:dyDescent="0.25">
      <c r="B36" t="s">
        <v>27</v>
      </c>
    </row>
    <row r="38" spans="1:10" x14ac:dyDescent="0.25">
      <c r="B38" t="s">
        <v>28</v>
      </c>
      <c r="H38" t="s">
        <v>28</v>
      </c>
    </row>
    <row r="39" spans="1:10" x14ac:dyDescent="0.25">
      <c r="B39" t="s">
        <v>29</v>
      </c>
      <c r="H39" t="s">
        <v>30</v>
      </c>
    </row>
  </sheetData>
  <mergeCells count="5">
    <mergeCell ref="A6:J6"/>
    <mergeCell ref="I7:J7"/>
    <mergeCell ref="I8:J8"/>
    <mergeCell ref="I9:J9"/>
    <mergeCell ref="B35:J35"/>
  </mergeCells>
  <hyperlinks>
    <hyperlink ref="H5" r:id="rId1" xr:uid="{00000000-0004-0000-0200-000000000000}"/>
  </hyperlinks>
  <pageMargins left="0.2" right="0.1" top="0.25" bottom="0.25" header="0.3" footer="0.3"/>
  <pageSetup paperSize="9" orientation="portrait" r:id="rId2"/>
  <drawing r:id="rId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5"/>
  <sheetViews>
    <sheetView workbookViewId="0">
      <selection activeCell="A9" sqref="A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803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802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804</v>
      </c>
      <c r="J9" s="188"/>
    </row>
    <row r="10" spans="1:10" x14ac:dyDescent="0.25">
      <c r="B10" t="s">
        <v>9</v>
      </c>
      <c r="C10" s="10" t="s">
        <v>134</v>
      </c>
      <c r="D10" s="10"/>
      <c r="E10" s="10"/>
      <c r="F10" s="10"/>
    </row>
    <row r="11" spans="1:10" x14ac:dyDescent="0.25">
      <c r="B11" t="s">
        <v>11</v>
      </c>
      <c r="C11" s="10" t="s">
        <v>135</v>
      </c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 t="s">
        <v>137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805</v>
      </c>
      <c r="C16" s="24" t="s">
        <v>23</v>
      </c>
      <c r="D16" s="25">
        <v>4</v>
      </c>
      <c r="E16" s="40">
        <v>750.4</v>
      </c>
      <c r="F16" s="27">
        <f t="shared" ref="F16" si="0">D16*E16</f>
        <v>3001.6</v>
      </c>
      <c r="G16" s="27">
        <f t="shared" ref="G16" si="1">F16*0.17</f>
        <v>510.27200000000005</v>
      </c>
      <c r="H16" s="39">
        <f t="shared" ref="H16" si="2">E16*1.17</f>
        <v>877.96799999999996</v>
      </c>
      <c r="I16" s="27">
        <f t="shared" ref="I16" si="3">H16*D16</f>
        <v>3511.8719999999998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4</v>
      </c>
      <c r="E18" s="35"/>
      <c r="F18" s="36">
        <f>SUM(F16:F16)</f>
        <v>3001.6</v>
      </c>
      <c r="G18" s="36">
        <f>SUM(G16:G16)</f>
        <v>510.27200000000005</v>
      </c>
      <c r="H18" s="35"/>
      <c r="I18" s="36">
        <f>SUM(I16:I16)</f>
        <v>3511.8719999999998</v>
      </c>
      <c r="J18" s="37"/>
    </row>
    <row r="19" spans="1:10" ht="15.75" thickTop="1" x14ac:dyDescent="0.25">
      <c r="A19" s="33"/>
      <c r="B19" s="34" t="s">
        <v>806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0300-000000000000}"/>
  </hyperlinks>
  <pageMargins left="0.2" right="0.1" top="0.25" bottom="0.25" header="0.3" footer="0.3"/>
  <pageSetup paperSize="9" orientation="portrait" r:id="rId2"/>
  <drawing r:id="rId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8"/>
  <sheetViews>
    <sheetView workbookViewId="0">
      <selection activeCell="D3" sqref="D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792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791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793</v>
      </c>
      <c r="D10" s="10"/>
      <c r="E10" s="10"/>
      <c r="F10" s="10"/>
    </row>
    <row r="11" spans="1:15" x14ac:dyDescent="0.25">
      <c r="B11" t="s">
        <v>11</v>
      </c>
      <c r="C11" s="10" t="s">
        <v>794</v>
      </c>
      <c r="D11" s="11"/>
      <c r="E11" s="11"/>
      <c r="F11" s="11"/>
    </row>
    <row r="12" spans="1:15" x14ac:dyDescent="0.25">
      <c r="A12" s="12"/>
      <c r="B12" s="13"/>
      <c r="C12" s="14" t="s">
        <v>795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1"/>
      <c r="D13" s="15"/>
      <c r="E13" s="15"/>
      <c r="F13" s="15"/>
      <c r="G13" s="16"/>
      <c r="H13" s="16"/>
      <c r="I13" s="16"/>
    </row>
    <row r="14" spans="1:15" ht="5.0999999999999996" customHeight="1" thickBot="1" x14ac:dyDescent="0.3">
      <c r="C14" s="14"/>
    </row>
    <row r="15" spans="1:15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  <c r="M15" s="21" t="s">
        <v>738</v>
      </c>
    </row>
    <row r="16" spans="1:15" s="21" customFormat="1" ht="30" x14ac:dyDescent="0.25">
      <c r="A16" s="53">
        <v>1</v>
      </c>
      <c r="B16" s="47" t="s">
        <v>797</v>
      </c>
      <c r="C16" s="54" t="s">
        <v>23</v>
      </c>
      <c r="D16" s="55">
        <v>5</v>
      </c>
      <c r="E16" s="56">
        <v>2800</v>
      </c>
      <c r="F16" s="56">
        <f>D16*E16</f>
        <v>14000</v>
      </c>
      <c r="G16" s="56">
        <f>F16*0.17</f>
        <v>2380</v>
      </c>
      <c r="H16" s="57">
        <f>E16*1.17</f>
        <v>3276</v>
      </c>
      <c r="I16" s="56">
        <f>H16*D16</f>
        <v>16380</v>
      </c>
      <c r="J16" s="58" t="s">
        <v>796</v>
      </c>
      <c r="M16" s="21">
        <f>440*1.02</f>
        <v>448.8</v>
      </c>
      <c r="N16" s="66">
        <f>M16-M19</f>
        <v>0</v>
      </c>
      <c r="O16" s="21">
        <f>N16*D16</f>
        <v>0</v>
      </c>
    </row>
    <row r="17" spans="1:18" s="21" customFormat="1" ht="30" x14ac:dyDescent="0.25">
      <c r="A17" s="53">
        <v>1</v>
      </c>
      <c r="B17" s="47" t="s">
        <v>798</v>
      </c>
      <c r="C17" s="54" t="s">
        <v>23</v>
      </c>
      <c r="D17" s="55">
        <v>5</v>
      </c>
      <c r="E17" s="56">
        <v>3800</v>
      </c>
      <c r="F17" s="56">
        <f>D17*E17</f>
        <v>19000</v>
      </c>
      <c r="G17" s="56">
        <f>F17*0.17</f>
        <v>3230.0000000000005</v>
      </c>
      <c r="H17" s="57">
        <f>E17*1.17</f>
        <v>4446</v>
      </c>
      <c r="I17" s="56">
        <f>H17*D17</f>
        <v>22230</v>
      </c>
      <c r="J17" s="58" t="s">
        <v>796</v>
      </c>
      <c r="M17" s="21">
        <f>440*1.02</f>
        <v>448.8</v>
      </c>
      <c r="N17" s="66">
        <f>M17-M18</f>
        <v>0</v>
      </c>
      <c r="O17" s="21">
        <f>N17*D17</f>
        <v>0</v>
      </c>
    </row>
    <row r="18" spans="1:18" s="21" customFormat="1" ht="30" x14ac:dyDescent="0.25">
      <c r="A18" s="53">
        <v>1</v>
      </c>
      <c r="B18" s="47" t="s">
        <v>799</v>
      </c>
      <c r="C18" s="54" t="s">
        <v>23</v>
      </c>
      <c r="D18" s="55">
        <v>5</v>
      </c>
      <c r="E18" s="56">
        <v>2600</v>
      </c>
      <c r="F18" s="56">
        <f>D18*E18</f>
        <v>13000</v>
      </c>
      <c r="G18" s="56">
        <f>F18*0.17</f>
        <v>2210</v>
      </c>
      <c r="H18" s="57">
        <f>E18*1.17</f>
        <v>3042</v>
      </c>
      <c r="I18" s="56">
        <f>H18*D18</f>
        <v>15210</v>
      </c>
      <c r="J18" s="58" t="s">
        <v>796</v>
      </c>
      <c r="M18" s="21">
        <f>440*1.02</f>
        <v>448.8</v>
      </c>
      <c r="N18" s="66">
        <f>M18-M19</f>
        <v>0</v>
      </c>
      <c r="O18" s="21">
        <f>N18*D18</f>
        <v>0</v>
      </c>
    </row>
    <row r="19" spans="1:18" s="21" customFormat="1" ht="30" x14ac:dyDescent="0.25">
      <c r="A19" s="53">
        <v>1</v>
      </c>
      <c r="B19" s="47" t="s">
        <v>800</v>
      </c>
      <c r="C19" s="54" t="s">
        <v>23</v>
      </c>
      <c r="D19" s="55">
        <v>5</v>
      </c>
      <c r="E19" s="56">
        <v>2800</v>
      </c>
      <c r="F19" s="56">
        <f>D19*E19</f>
        <v>14000</v>
      </c>
      <c r="G19" s="56">
        <f>F19*0.17</f>
        <v>2380</v>
      </c>
      <c r="H19" s="57">
        <f>E19*1.17</f>
        <v>3276</v>
      </c>
      <c r="I19" s="56">
        <f>H19*D19</f>
        <v>16380</v>
      </c>
      <c r="J19" s="58" t="s">
        <v>796</v>
      </c>
      <c r="M19" s="21">
        <f>440*1.02</f>
        <v>448.8</v>
      </c>
      <c r="N19" s="66">
        <f>M19-M20</f>
        <v>65.21025641025642</v>
      </c>
      <c r="O19" s="21">
        <f>N19*D19</f>
        <v>326.0512820512821</v>
      </c>
    </row>
    <row r="20" spans="1:18" ht="15.75" thickBot="1" x14ac:dyDescent="0.3">
      <c r="A20" s="33"/>
      <c r="B20" s="34" t="s">
        <v>24</v>
      </c>
      <c r="C20" s="35"/>
      <c r="D20" s="62">
        <v>20</v>
      </c>
      <c r="E20" s="35"/>
      <c r="F20" s="62">
        <f>SUM(F16:F19)</f>
        <v>60000</v>
      </c>
      <c r="G20" s="62">
        <f>SUM(G16:G19)</f>
        <v>10200</v>
      </c>
      <c r="H20" s="35"/>
      <c r="I20" s="62">
        <f>SUM(I16:I19)</f>
        <v>70200</v>
      </c>
      <c r="J20" s="37"/>
      <c r="M20">
        <f>M19/117*100</f>
        <v>383.58974358974359</v>
      </c>
      <c r="O20">
        <f>M20*1.1</f>
        <v>421.94871794871796</v>
      </c>
    </row>
    <row r="21" spans="1:18" ht="15.75" thickTop="1" x14ac:dyDescent="0.25">
      <c r="A21" s="33"/>
      <c r="B21" s="34" t="s">
        <v>801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>
        <f>M20*D19</f>
        <v>1917.948717948718</v>
      </c>
      <c r="O22" s="65">
        <f>F19</f>
        <v>14000</v>
      </c>
      <c r="P22" s="64">
        <f>O22-M22</f>
        <v>12082.051282051281</v>
      </c>
      <c r="Q22" s="64">
        <f>I19*0.045</f>
        <v>737.1</v>
      </c>
      <c r="R22" s="64">
        <f>P22-Q22</f>
        <v>11344.951282051281</v>
      </c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>
        <f>G19-O19</f>
        <v>2053.9487179487178</v>
      </c>
    </row>
    <row r="24" spans="1:18" x14ac:dyDescent="0.25">
      <c r="B24" t="s">
        <v>27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4000000}"/>
  <mergeCells count="5">
    <mergeCell ref="A6:J6"/>
    <mergeCell ref="I7:J7"/>
    <mergeCell ref="I8:J8"/>
    <mergeCell ref="I9:J9"/>
    <mergeCell ref="B23:J23"/>
  </mergeCells>
  <hyperlinks>
    <hyperlink ref="H5" r:id="rId1" xr:uid="{00000000-0004-0000-0400-000000000000}"/>
  </hyperlinks>
  <pageMargins left="0.2" right="0.1" top="0.25" bottom="0.25" header="0.3" footer="0.3"/>
  <pageSetup paperSize="9" orientation="portrait" r:id="rId2"/>
  <drawing r:id="rId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25"/>
  <sheetViews>
    <sheetView workbookViewId="0">
      <selection activeCell="A10" sqref="A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788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789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601</v>
      </c>
      <c r="D10" s="10"/>
      <c r="E10" s="10"/>
      <c r="F10" s="10"/>
    </row>
    <row r="11" spans="1:15" x14ac:dyDescent="0.25">
      <c r="B11" t="s">
        <v>11</v>
      </c>
      <c r="C11" s="10" t="s">
        <v>736</v>
      </c>
      <c r="D11" s="11"/>
      <c r="E11" s="11"/>
      <c r="F11" s="11"/>
    </row>
    <row r="12" spans="1:15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5" ht="5.0999999999999996" customHeight="1" thickBot="1" x14ac:dyDescent="0.3">
      <c r="C14" s="14"/>
    </row>
    <row r="15" spans="1:15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  <c r="M15" s="21" t="s">
        <v>738</v>
      </c>
    </row>
    <row r="16" spans="1:15" s="21" customFormat="1" x14ac:dyDescent="0.25">
      <c r="A16" s="53">
        <v>1</v>
      </c>
      <c r="B16" s="47" t="s">
        <v>737</v>
      </c>
      <c r="C16" s="54" t="s">
        <v>23</v>
      </c>
      <c r="D16" s="55">
        <v>150</v>
      </c>
      <c r="E16" s="56">
        <v>455</v>
      </c>
      <c r="F16" s="56">
        <f>D16*E16</f>
        <v>68250</v>
      </c>
      <c r="G16" s="56">
        <f>F16*0.17</f>
        <v>11602.5</v>
      </c>
      <c r="H16" s="57">
        <f>E16*1.17</f>
        <v>532.35</v>
      </c>
      <c r="I16" s="56">
        <f>H16*D16</f>
        <v>79852.5</v>
      </c>
      <c r="J16" s="58"/>
      <c r="M16" s="21">
        <f>440*1.02</f>
        <v>448.8</v>
      </c>
      <c r="N16" s="66">
        <f>M16-M17</f>
        <v>65.21025641025642</v>
      </c>
      <c r="O16" s="21">
        <f>N16*D16</f>
        <v>9781.5384615384628</v>
      </c>
    </row>
    <row r="17" spans="1:18" ht="15.75" thickBot="1" x14ac:dyDescent="0.3">
      <c r="A17" s="33"/>
      <c r="B17" s="34" t="s">
        <v>24</v>
      </c>
      <c r="C17" s="35"/>
      <c r="D17" s="62">
        <f>SUM(D16:D16)</f>
        <v>150</v>
      </c>
      <c r="E17" s="35"/>
      <c r="F17" s="62">
        <f>SUM(F16:F16)</f>
        <v>68250</v>
      </c>
      <c r="G17" s="62">
        <f>SUM(G16:G16)</f>
        <v>11602.5</v>
      </c>
      <c r="H17" s="35"/>
      <c r="I17" s="62">
        <f>SUM(I16:I16)</f>
        <v>79852.5</v>
      </c>
      <c r="J17" s="37"/>
      <c r="M17">
        <f>M16/117*100</f>
        <v>383.58974358974359</v>
      </c>
      <c r="O17">
        <f>M17*1.1</f>
        <v>421.94871794871796</v>
      </c>
    </row>
    <row r="18" spans="1:18" ht="15.75" thickTop="1" x14ac:dyDescent="0.25">
      <c r="A18" s="33"/>
      <c r="B18" s="34" t="s">
        <v>790</v>
      </c>
      <c r="C18" s="35"/>
      <c r="D18" s="35"/>
      <c r="E18" s="35"/>
      <c r="F18" s="35"/>
      <c r="G18" s="35"/>
      <c r="H18" s="35"/>
      <c r="I18" s="35"/>
      <c r="J18" s="37"/>
    </row>
    <row r="19" spans="1:18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  <c r="M19" s="64">
        <f>M17*D16</f>
        <v>57538.461538461539</v>
      </c>
      <c r="O19" s="65">
        <f>F16</f>
        <v>68250</v>
      </c>
      <c r="P19" s="64">
        <f>O19-M19</f>
        <v>10711.538461538461</v>
      </c>
      <c r="Q19" s="64">
        <f>I16*0.045</f>
        <v>3593.3624999999997</v>
      </c>
      <c r="R19" s="64">
        <f>P19-Q19</f>
        <v>7118.1759615384617</v>
      </c>
    </row>
    <row r="20" spans="1:18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  <c r="P20" s="64"/>
      <c r="R20" s="65">
        <f>G16-O16</f>
        <v>1820.9615384615372</v>
      </c>
    </row>
    <row r="21" spans="1:18" x14ac:dyDescent="0.25">
      <c r="B21" t="s">
        <v>27</v>
      </c>
    </row>
    <row r="24" spans="1:18" x14ac:dyDescent="0.25">
      <c r="B24" t="s">
        <v>28</v>
      </c>
      <c r="H24" t="s">
        <v>28</v>
      </c>
    </row>
    <row r="25" spans="1:18" x14ac:dyDescent="0.25">
      <c r="B25" t="s">
        <v>29</v>
      </c>
      <c r="H25" t="s">
        <v>30</v>
      </c>
    </row>
  </sheetData>
  <autoFilter ref="A15:J21" xr:uid="{00000000-0009-0000-0000-000005000000}"/>
  <mergeCells count="5">
    <mergeCell ref="A6:J6"/>
    <mergeCell ref="I7:J7"/>
    <mergeCell ref="I8:J8"/>
    <mergeCell ref="I9:J9"/>
    <mergeCell ref="B20:J20"/>
  </mergeCells>
  <hyperlinks>
    <hyperlink ref="H5" r:id="rId1" xr:uid="{00000000-0004-0000-0500-000000000000}"/>
  </hyperlinks>
  <pageMargins left="0.2" right="0.1" top="0.25" bottom="0.25" header="0.3" footer="0.3"/>
  <pageSetup paperSize="9" orientation="portrait" r:id="rId2"/>
  <drawing r:id="rId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7"/>
  <sheetViews>
    <sheetView workbookViewId="0">
      <selection activeCell="I9" sqref="I9:J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8" width="8.28515625" style="64" customWidth="1"/>
    <col min="9" max="9" width="8.28515625" customWidth="1"/>
    <col min="10" max="10" width="12.7109375" customWidth="1"/>
  </cols>
  <sheetData>
    <row r="1" spans="1:10" x14ac:dyDescent="0.25">
      <c r="D1" s="1"/>
      <c r="E1" s="1"/>
      <c r="F1" s="1"/>
      <c r="H1" s="67" t="s">
        <v>0</v>
      </c>
    </row>
    <row r="2" spans="1:10" x14ac:dyDescent="0.25">
      <c r="D2" s="2"/>
      <c r="E2" s="2"/>
      <c r="F2" s="2"/>
      <c r="H2" s="68" t="s">
        <v>1</v>
      </c>
    </row>
    <row r="3" spans="1:10" x14ac:dyDescent="0.25">
      <c r="D3" s="2"/>
      <c r="E3" s="2"/>
      <c r="F3" s="2"/>
      <c r="H3" s="68" t="s">
        <v>2</v>
      </c>
    </row>
    <row r="4" spans="1:10" x14ac:dyDescent="0.25">
      <c r="D4" s="2"/>
      <c r="E4" s="2"/>
      <c r="F4" s="2"/>
      <c r="H4" s="68" t="s">
        <v>31</v>
      </c>
    </row>
    <row r="5" spans="1:10" ht="21" x14ac:dyDescent="0.35">
      <c r="B5" s="3"/>
      <c r="D5" s="4"/>
      <c r="E5" s="5"/>
      <c r="F5" s="5"/>
      <c r="H5" s="69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781</v>
      </c>
      <c r="B7" s="7"/>
      <c r="C7" s="7"/>
      <c r="D7" s="8"/>
      <c r="E7" s="8"/>
      <c r="F7" s="8"/>
      <c r="G7" s="8"/>
      <c r="H7" s="70" t="s">
        <v>4</v>
      </c>
      <c r="I7" s="186" t="s">
        <v>5</v>
      </c>
      <c r="J7" s="186"/>
    </row>
    <row r="8" spans="1:10" x14ac:dyDescent="0.25">
      <c r="A8" s="9" t="s">
        <v>782</v>
      </c>
      <c r="B8" s="7"/>
      <c r="C8" s="7"/>
      <c r="D8" s="8"/>
      <c r="E8" s="8"/>
      <c r="F8" s="8"/>
      <c r="G8" s="8"/>
      <c r="H8" s="70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70" t="s">
        <v>8</v>
      </c>
      <c r="I9" s="186" t="s">
        <v>787</v>
      </c>
      <c r="J9" s="186"/>
    </row>
    <row r="10" spans="1:10" x14ac:dyDescent="0.25">
      <c r="B10" t="s">
        <v>9</v>
      </c>
      <c r="C10" s="10" t="s">
        <v>754</v>
      </c>
      <c r="D10" s="10"/>
      <c r="E10" s="10"/>
      <c r="F10" s="10"/>
    </row>
    <row r="11" spans="1:10" x14ac:dyDescent="0.25">
      <c r="B11" t="s">
        <v>11</v>
      </c>
      <c r="C11" s="10" t="s">
        <v>755</v>
      </c>
      <c r="D11" s="11"/>
      <c r="E11" s="11"/>
      <c r="F11" s="11"/>
    </row>
    <row r="12" spans="1:10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71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783</v>
      </c>
      <c r="C16" s="24" t="s">
        <v>23</v>
      </c>
      <c r="D16" s="25">
        <v>10</v>
      </c>
      <c r="E16" s="26">
        <v>150</v>
      </c>
      <c r="F16" s="27">
        <f t="shared" ref="F16:F19" si="0">D16*E16</f>
        <v>1500</v>
      </c>
      <c r="G16" s="27">
        <f>F16*0.17</f>
        <v>255.00000000000003</v>
      </c>
      <c r="H16" s="26">
        <f>E16*1.17</f>
        <v>175.5</v>
      </c>
      <c r="I16" s="27">
        <f t="shared" ref="I16:I19" si="1">H16*D16</f>
        <v>1755</v>
      </c>
      <c r="J16" s="28"/>
    </row>
    <row r="17" spans="1:10" s="21" customFormat="1" x14ac:dyDescent="0.25">
      <c r="A17" s="22">
        <f>A16+1</f>
        <v>2</v>
      </c>
      <c r="B17" s="23" t="s">
        <v>784</v>
      </c>
      <c r="C17" s="24" t="s">
        <v>23</v>
      </c>
      <c r="D17" s="25">
        <v>100</v>
      </c>
      <c r="E17" s="26">
        <v>14.5</v>
      </c>
      <c r="F17" s="27">
        <f t="shared" si="0"/>
        <v>1450</v>
      </c>
      <c r="G17" s="27">
        <f>F17*0</f>
        <v>0</v>
      </c>
      <c r="H17" s="26">
        <f>E17*1</f>
        <v>14.5</v>
      </c>
      <c r="I17" s="27">
        <f t="shared" si="1"/>
        <v>1450</v>
      </c>
      <c r="J17" s="28"/>
    </row>
    <row r="18" spans="1:10" s="21" customFormat="1" x14ac:dyDescent="0.25">
      <c r="A18" s="22">
        <f t="shared" ref="A18" si="2">A17+1</f>
        <v>3</v>
      </c>
      <c r="B18" s="23" t="s">
        <v>785</v>
      </c>
      <c r="C18" s="24" t="s">
        <v>23</v>
      </c>
      <c r="D18" s="25">
        <v>200</v>
      </c>
      <c r="E18" s="26">
        <v>6</v>
      </c>
      <c r="F18" s="27">
        <f t="shared" si="0"/>
        <v>1200</v>
      </c>
      <c r="G18" s="27">
        <f>F18*0</f>
        <v>0</v>
      </c>
      <c r="H18" s="26">
        <f>E18*1</f>
        <v>6</v>
      </c>
      <c r="I18" s="27">
        <f t="shared" si="1"/>
        <v>1200</v>
      </c>
      <c r="J18" s="28"/>
    </row>
    <row r="19" spans="1:10" s="21" customFormat="1" x14ac:dyDescent="0.25">
      <c r="A19" s="22"/>
      <c r="B19" s="23"/>
      <c r="C19" s="24"/>
      <c r="D19" s="25"/>
      <c r="E19" s="26"/>
      <c r="F19" s="27">
        <f t="shared" si="0"/>
        <v>0</v>
      </c>
      <c r="G19" s="27">
        <f>F19*0.17</f>
        <v>0</v>
      </c>
      <c r="H19" s="26">
        <f>E19*1.17</f>
        <v>0</v>
      </c>
      <c r="I19" s="27">
        <f t="shared" si="1"/>
        <v>0</v>
      </c>
      <c r="J19" s="28"/>
    </row>
    <row r="20" spans="1:10" ht="15.75" thickBot="1" x14ac:dyDescent="0.3">
      <c r="A20" s="33"/>
      <c r="B20" s="34" t="s">
        <v>24</v>
      </c>
      <c r="C20" s="35"/>
      <c r="D20" s="36">
        <f>SUM(D16:D19)</f>
        <v>310</v>
      </c>
      <c r="E20" s="35"/>
      <c r="F20" s="36">
        <f>SUM(F16:F19)</f>
        <v>4150</v>
      </c>
      <c r="G20" s="36">
        <f>SUM(G16:G19)</f>
        <v>255.00000000000003</v>
      </c>
      <c r="H20" s="35"/>
      <c r="I20" s="36">
        <f>SUM(I16:I19)</f>
        <v>4405</v>
      </c>
      <c r="J20" s="37"/>
    </row>
    <row r="21" spans="1:10" ht="15.75" thickTop="1" x14ac:dyDescent="0.25">
      <c r="A21" s="33"/>
      <c r="B21" s="34" t="s">
        <v>786</v>
      </c>
      <c r="C21" s="35"/>
      <c r="D21" s="35"/>
      <c r="E21" s="35"/>
      <c r="F21" s="35"/>
      <c r="G21" s="35"/>
      <c r="H21" s="35"/>
      <c r="I21" s="35"/>
      <c r="J21" s="37"/>
    </row>
    <row r="22" spans="1:10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</row>
    <row r="23" spans="1:10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</row>
    <row r="24" spans="1:10" x14ac:dyDescent="0.25">
      <c r="B24" t="s">
        <v>27</v>
      </c>
    </row>
    <row r="26" spans="1:10" x14ac:dyDescent="0.25">
      <c r="B26" t="s">
        <v>28</v>
      </c>
      <c r="H26" s="64" t="s">
        <v>28</v>
      </c>
    </row>
    <row r="27" spans="1:10" x14ac:dyDescent="0.25">
      <c r="B27" t="s">
        <v>29</v>
      </c>
      <c r="H27" s="64" t="s">
        <v>30</v>
      </c>
    </row>
  </sheetData>
  <mergeCells count="5">
    <mergeCell ref="A6:J6"/>
    <mergeCell ref="I7:J7"/>
    <mergeCell ref="I8:J8"/>
    <mergeCell ref="I9:J9"/>
    <mergeCell ref="B23:J23"/>
  </mergeCells>
  <hyperlinks>
    <hyperlink ref="H5" r:id="rId1" xr:uid="{00000000-0004-0000-0600-000000000000}"/>
  </hyperlinks>
  <pageMargins left="0.2" right="0.1" top="0.25" bottom="0.25" header="0.3" footer="0.3"/>
  <pageSetup paperSize="9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C29D8-0B4A-414D-9EA6-B2B696587FEB}">
  <dimension ref="A1:R30"/>
  <sheetViews>
    <sheetView workbookViewId="0">
      <selection activeCell="G3" sqref="G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2262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1523</v>
      </c>
      <c r="C16" s="53" t="s">
        <v>1506</v>
      </c>
      <c r="D16" s="79">
        <v>4</v>
      </c>
      <c r="E16" s="56">
        <v>25</v>
      </c>
      <c r="F16" s="56">
        <f t="shared" ref="F16:F20" si="0">D16*E16</f>
        <v>100</v>
      </c>
      <c r="G16" s="149">
        <f t="shared" ref="G16:G20" si="1">F16*0.17</f>
        <v>17</v>
      </c>
      <c r="H16" s="85">
        <f t="shared" ref="H16:H20" si="2">E16*1.17</f>
        <v>29.25</v>
      </c>
      <c r="I16" s="56">
        <f t="shared" ref="I16:I20" si="3">H16*D16</f>
        <v>117</v>
      </c>
      <c r="J16" s="83"/>
      <c r="N16" s="66"/>
    </row>
    <row r="17" spans="1:18" s="21" customFormat="1" ht="15.75" x14ac:dyDescent="0.25">
      <c r="A17" s="53">
        <v>2</v>
      </c>
      <c r="B17" s="78" t="s">
        <v>1538</v>
      </c>
      <c r="C17" s="53" t="s">
        <v>23</v>
      </c>
      <c r="D17" s="79">
        <v>1</v>
      </c>
      <c r="E17" s="56">
        <v>340</v>
      </c>
      <c r="F17" s="56">
        <f t="shared" si="0"/>
        <v>340</v>
      </c>
      <c r="G17" s="149">
        <f t="shared" si="1"/>
        <v>57.800000000000004</v>
      </c>
      <c r="H17" s="85">
        <f t="shared" si="2"/>
        <v>397.79999999999995</v>
      </c>
      <c r="I17" s="56">
        <f t="shared" si="3"/>
        <v>397.79999999999995</v>
      </c>
      <c r="J17" s="83"/>
      <c r="N17" s="66"/>
    </row>
    <row r="18" spans="1:18" s="21" customFormat="1" ht="15.75" x14ac:dyDescent="0.25">
      <c r="A18" s="53">
        <v>3</v>
      </c>
      <c r="B18" s="78" t="s">
        <v>1530</v>
      </c>
      <c r="C18" s="53" t="s">
        <v>1506</v>
      </c>
      <c r="D18" s="79">
        <v>1</v>
      </c>
      <c r="E18" s="56">
        <v>135</v>
      </c>
      <c r="F18" s="56">
        <f t="shared" si="0"/>
        <v>135</v>
      </c>
      <c r="G18" s="149">
        <f t="shared" si="1"/>
        <v>22.950000000000003</v>
      </c>
      <c r="H18" s="85">
        <f t="shared" si="2"/>
        <v>157.94999999999999</v>
      </c>
      <c r="I18" s="56">
        <f t="shared" si="3"/>
        <v>157.94999999999999</v>
      </c>
      <c r="J18" s="83"/>
      <c r="N18" s="66"/>
    </row>
    <row r="19" spans="1:18" s="21" customFormat="1" ht="15.75" x14ac:dyDescent="0.25">
      <c r="A19" s="53">
        <v>4</v>
      </c>
      <c r="B19" s="78" t="s">
        <v>1949</v>
      </c>
      <c r="C19" s="53" t="s">
        <v>76</v>
      </c>
      <c r="D19" s="79">
        <v>1</v>
      </c>
      <c r="E19" s="56">
        <v>75</v>
      </c>
      <c r="F19" s="56">
        <f t="shared" si="0"/>
        <v>75</v>
      </c>
      <c r="G19" s="149">
        <f>F19*0</f>
        <v>0</v>
      </c>
      <c r="H19" s="85">
        <f>E19*1</f>
        <v>75</v>
      </c>
      <c r="I19" s="56">
        <f t="shared" si="3"/>
        <v>75</v>
      </c>
      <c r="J19" s="83"/>
      <c r="N19" s="66"/>
    </row>
    <row r="20" spans="1:18" s="21" customFormat="1" ht="15.75" x14ac:dyDescent="0.25">
      <c r="A20" s="53">
        <v>5</v>
      </c>
      <c r="B20" s="78" t="s">
        <v>1952</v>
      </c>
      <c r="C20" s="53" t="s">
        <v>23</v>
      </c>
      <c r="D20" s="79">
        <v>200</v>
      </c>
      <c r="E20" s="56">
        <v>180</v>
      </c>
      <c r="F20" s="56">
        <f t="shared" si="0"/>
        <v>36000</v>
      </c>
      <c r="G20" s="149">
        <f t="shared" si="1"/>
        <v>6120</v>
      </c>
      <c r="H20" s="85">
        <f t="shared" si="2"/>
        <v>210.6</v>
      </c>
      <c r="I20" s="56">
        <f t="shared" si="3"/>
        <v>42120</v>
      </c>
      <c r="J20" s="83"/>
      <c r="N20" s="66"/>
    </row>
    <row r="21" spans="1:18" s="21" customFormat="1" ht="15.75" x14ac:dyDescent="0.25">
      <c r="A21" s="53"/>
      <c r="B21" s="78"/>
      <c r="C21" s="53"/>
      <c r="D21" s="79"/>
      <c r="E21" s="56"/>
      <c r="F21" s="56"/>
      <c r="G21" s="149"/>
      <c r="H21" s="85"/>
      <c r="I21" s="56"/>
      <c r="J21" s="83"/>
      <c r="N21" s="66"/>
    </row>
    <row r="22" spans="1:18" ht="15.75" thickBot="1" x14ac:dyDescent="0.3">
      <c r="A22" s="33"/>
      <c r="B22" s="34" t="s">
        <v>24</v>
      </c>
      <c r="C22" s="35"/>
      <c r="D22" s="62">
        <f>SUM(D16:D21)</f>
        <v>207</v>
      </c>
      <c r="E22" s="35"/>
      <c r="F22" s="62">
        <f>SUM(F16:F21)</f>
        <v>36650</v>
      </c>
      <c r="G22" s="62">
        <f>SUM(G16:G21)</f>
        <v>6217.75</v>
      </c>
      <c r="H22" s="35"/>
      <c r="I22" s="62">
        <f>SUM(I16:I21)</f>
        <v>42867.75</v>
      </c>
      <c r="J22" s="37"/>
    </row>
    <row r="23" spans="1:18" ht="15.75" thickTop="1" x14ac:dyDescent="0.25">
      <c r="A23" s="33"/>
      <c r="B23" s="34" t="s">
        <v>2261</v>
      </c>
      <c r="C23" s="35"/>
      <c r="D23" s="35"/>
      <c r="E23" s="35"/>
      <c r="F23" s="35"/>
      <c r="G23" s="35"/>
      <c r="H23" s="35"/>
      <c r="I23" s="35"/>
      <c r="J23" s="37"/>
    </row>
    <row r="24" spans="1:18" x14ac:dyDescent="0.25">
      <c r="A24" s="33"/>
      <c r="B24" s="38" t="s">
        <v>25</v>
      </c>
      <c r="C24" s="35"/>
      <c r="D24" s="35"/>
      <c r="E24" s="35"/>
      <c r="F24" s="35"/>
      <c r="G24" s="35"/>
      <c r="H24" s="35"/>
      <c r="I24" s="35"/>
      <c r="J24" s="37"/>
      <c r="M24" s="64"/>
      <c r="O24" s="65"/>
      <c r="P24" s="64"/>
      <c r="Q24" s="64"/>
      <c r="R24" s="64"/>
    </row>
    <row r="25" spans="1:18" ht="30" customHeight="1" x14ac:dyDescent="0.25">
      <c r="B25" s="183" t="s">
        <v>26</v>
      </c>
      <c r="C25" s="183"/>
      <c r="D25" s="183"/>
      <c r="E25" s="183"/>
      <c r="F25" s="183"/>
      <c r="G25" s="183"/>
      <c r="H25" s="183"/>
      <c r="I25" s="183"/>
      <c r="J25" s="183"/>
      <c r="P25" s="64"/>
      <c r="R25" s="65"/>
    </row>
    <row r="26" spans="1:18" x14ac:dyDescent="0.25">
      <c r="B26" t="s">
        <v>634</v>
      </c>
    </row>
    <row r="29" spans="1:18" x14ac:dyDescent="0.25">
      <c r="B29" t="s">
        <v>28</v>
      </c>
      <c r="H29" t="s">
        <v>28</v>
      </c>
    </row>
    <row r="30" spans="1:18" x14ac:dyDescent="0.25">
      <c r="B30" t="s">
        <v>29</v>
      </c>
      <c r="H30" t="s">
        <v>30</v>
      </c>
    </row>
  </sheetData>
  <autoFilter ref="A15:J26" xr:uid="{00000000-0009-0000-0000-000000000000}"/>
  <mergeCells count="5">
    <mergeCell ref="A6:J6"/>
    <mergeCell ref="I7:J7"/>
    <mergeCell ref="I8:J8"/>
    <mergeCell ref="I9:J9"/>
    <mergeCell ref="B25:J25"/>
  </mergeCells>
  <hyperlinks>
    <hyperlink ref="H5" r:id="rId1" xr:uid="{FBA7B521-3609-4646-BC90-FE0104760C25}"/>
  </hyperlinks>
  <pageMargins left="0.2" right="0.1" top="0.25" bottom="0.25" header="0.3" footer="0.3"/>
  <pageSetup paperSize="9" orientation="portrait" r:id="rId2"/>
  <drawing r:id="rId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25"/>
  <sheetViews>
    <sheetView workbookViewId="0">
      <selection activeCell="D16" sqref="D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779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780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710</v>
      </c>
      <c r="C16" s="54" t="s">
        <v>23</v>
      </c>
      <c r="D16" s="55">
        <v>25</v>
      </c>
      <c r="E16" s="56">
        <v>300</v>
      </c>
      <c r="F16" s="56">
        <f t="shared" ref="F16" si="0">D16*E16</f>
        <v>7500</v>
      </c>
      <c r="G16" s="56">
        <f>F16*0.17</f>
        <v>1275</v>
      </c>
      <c r="H16" s="57">
        <f>E16*1.17</f>
        <v>351</v>
      </c>
      <c r="I16" s="56">
        <f t="shared" ref="I16" si="1">H16*D16</f>
        <v>8775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25</v>
      </c>
      <c r="E17" s="35"/>
      <c r="F17" s="62">
        <f>SUM(F16:F16)</f>
        <v>7500</v>
      </c>
      <c r="G17" s="62">
        <f>SUM(G16:G16)</f>
        <v>1275</v>
      </c>
      <c r="H17" s="35"/>
      <c r="I17" s="62">
        <f>SUM(I16:I16)</f>
        <v>8775</v>
      </c>
      <c r="J17" s="37"/>
    </row>
    <row r="18" spans="1:10" ht="15.75" thickTop="1" x14ac:dyDescent="0.25">
      <c r="A18" s="33"/>
      <c r="B18" s="34" t="s">
        <v>732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7000000}"/>
  <mergeCells count="5">
    <mergeCell ref="A6:J6"/>
    <mergeCell ref="I7:J7"/>
    <mergeCell ref="I8:J8"/>
    <mergeCell ref="I9:J9"/>
    <mergeCell ref="B20:J20"/>
  </mergeCells>
  <hyperlinks>
    <hyperlink ref="H5" r:id="rId1" xr:uid="{00000000-0004-0000-0700-000000000000}"/>
  </hyperlinks>
  <pageMargins left="0.2" right="0.1" top="0.25" bottom="0.25" header="0.3" footer="0.3"/>
  <pageSetup paperSize="9" orientation="portrait" r:id="rId2"/>
  <drawing r:id="rId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25"/>
  <sheetViews>
    <sheetView workbookViewId="0">
      <selection activeCell="D17" sqref="D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777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778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710</v>
      </c>
      <c r="C16" s="54" t="s">
        <v>23</v>
      </c>
      <c r="D16" s="55">
        <v>25</v>
      </c>
      <c r="E16" s="56">
        <v>300</v>
      </c>
      <c r="F16" s="56">
        <f t="shared" ref="F16" si="0">D16*E16</f>
        <v>7500</v>
      </c>
      <c r="G16" s="56">
        <f>F16*0.17</f>
        <v>1275</v>
      </c>
      <c r="H16" s="57">
        <f>E16*1.17</f>
        <v>351</v>
      </c>
      <c r="I16" s="56">
        <f t="shared" ref="I16" si="1">H16*D16</f>
        <v>8775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25</v>
      </c>
      <c r="E17" s="35"/>
      <c r="F17" s="62">
        <f>SUM(F16:F16)</f>
        <v>7500</v>
      </c>
      <c r="G17" s="62">
        <f>SUM(G16:G16)</f>
        <v>1275</v>
      </c>
      <c r="H17" s="35"/>
      <c r="I17" s="62">
        <f>SUM(I16:I16)</f>
        <v>8775</v>
      </c>
      <c r="J17" s="37"/>
    </row>
    <row r="18" spans="1:10" ht="15.75" thickTop="1" x14ac:dyDescent="0.25">
      <c r="A18" s="33"/>
      <c r="B18" s="34" t="s">
        <v>732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8000000}"/>
  <mergeCells count="5">
    <mergeCell ref="A6:J6"/>
    <mergeCell ref="I7:J7"/>
    <mergeCell ref="I8:J8"/>
    <mergeCell ref="I9:J9"/>
    <mergeCell ref="B20:J20"/>
  </mergeCells>
  <hyperlinks>
    <hyperlink ref="H5" r:id="rId1" xr:uid="{00000000-0004-0000-0800-000000000000}"/>
  </hyperlinks>
  <pageMargins left="0.2" right="0.1" top="0.25" bottom="0.25" header="0.3" footer="0.3"/>
  <pageSetup paperSize="9" orientation="portrait" r:id="rId2"/>
  <drawing r:id="rId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25"/>
  <sheetViews>
    <sheetView topLeftCell="A5" workbookViewId="0">
      <selection activeCell="B19" sqref="B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748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774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746</v>
      </c>
      <c r="C16" s="54" t="s">
        <v>23</v>
      </c>
      <c r="D16" s="55">
        <v>14</v>
      </c>
      <c r="E16" s="56">
        <v>440</v>
      </c>
      <c r="F16" s="56">
        <f t="shared" ref="F16" si="0">D16*E16</f>
        <v>6160</v>
      </c>
      <c r="G16" s="56">
        <f>F16*0.17</f>
        <v>1047.2</v>
      </c>
      <c r="H16" s="57">
        <f>E16*1.17</f>
        <v>514.79999999999995</v>
      </c>
      <c r="I16" s="56">
        <f t="shared" ref="I16" si="1">H16*D16</f>
        <v>7207.1999999999989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14</v>
      </c>
      <c r="E17" s="35"/>
      <c r="F17" s="62">
        <f>SUM(F16:F16)</f>
        <v>6160</v>
      </c>
      <c r="G17" s="62">
        <f>SUM(G16:G16)</f>
        <v>1047.2</v>
      </c>
      <c r="H17" s="35"/>
      <c r="I17" s="62">
        <f>SUM(I16:I16)</f>
        <v>7207.1999999999989</v>
      </c>
      <c r="J17" s="37"/>
    </row>
    <row r="18" spans="1:10" ht="15.75" thickTop="1" x14ac:dyDescent="0.25">
      <c r="A18" s="33"/>
      <c r="B18" s="34" t="s">
        <v>776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9000000}"/>
  <mergeCells count="5">
    <mergeCell ref="A6:J6"/>
    <mergeCell ref="I7:J7"/>
    <mergeCell ref="I8:J8"/>
    <mergeCell ref="I9:J9"/>
    <mergeCell ref="B20:J20"/>
  </mergeCells>
  <hyperlinks>
    <hyperlink ref="H5" r:id="rId1" xr:uid="{00000000-0004-0000-0900-000000000000}"/>
  </hyperlinks>
  <pageMargins left="0.2" right="0.1" top="0.25" bottom="0.25" header="0.3" footer="0.3"/>
  <pageSetup paperSize="9" orientation="portrait" r:id="rId2"/>
  <drawing r:id="rId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25"/>
  <sheetViews>
    <sheetView topLeftCell="A5" workbookViewId="0">
      <selection activeCell="B18" sqref="B1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773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772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746</v>
      </c>
      <c r="C16" s="54" t="s">
        <v>23</v>
      </c>
      <c r="D16" s="55">
        <v>18</v>
      </c>
      <c r="E16" s="56">
        <v>440</v>
      </c>
      <c r="F16" s="56">
        <f t="shared" ref="F16" si="0">D16*E16</f>
        <v>7920</v>
      </c>
      <c r="G16" s="56">
        <f>F16*0.17</f>
        <v>1346.4</v>
      </c>
      <c r="H16" s="57">
        <f>E16*1.17</f>
        <v>514.79999999999995</v>
      </c>
      <c r="I16" s="56">
        <f t="shared" ref="I16" si="1">H16*D16</f>
        <v>9266.4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18</v>
      </c>
      <c r="E17" s="35"/>
      <c r="F17" s="62">
        <f>SUM(F16:F16)</f>
        <v>7920</v>
      </c>
      <c r="G17" s="62">
        <f>SUM(G16:G16)</f>
        <v>1346.4</v>
      </c>
      <c r="H17" s="35"/>
      <c r="I17" s="62">
        <f>SUM(I16:I16)</f>
        <v>9266.4</v>
      </c>
      <c r="J17" s="37"/>
    </row>
    <row r="18" spans="1:10" ht="15.75" thickTop="1" x14ac:dyDescent="0.25">
      <c r="A18" s="33"/>
      <c r="B18" s="34" t="s">
        <v>775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A000000}"/>
  <mergeCells count="5">
    <mergeCell ref="A6:J6"/>
    <mergeCell ref="I7:J7"/>
    <mergeCell ref="I8:J8"/>
    <mergeCell ref="I9:J9"/>
    <mergeCell ref="B20:J20"/>
  </mergeCells>
  <hyperlinks>
    <hyperlink ref="H5" r:id="rId1" xr:uid="{00000000-0004-0000-0A00-000000000000}"/>
  </hyperlinks>
  <pageMargins left="0.2" right="0.1" top="0.25" bottom="0.25" header="0.3" footer="0.3"/>
  <pageSetup paperSize="9" orientation="portrait" r:id="rId2"/>
  <drawing r:id="rId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37"/>
  <sheetViews>
    <sheetView workbookViewId="0">
      <selection activeCell="A12" sqref="A1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8" width="8.28515625" style="64" customWidth="1"/>
    <col min="9" max="9" width="8.28515625" customWidth="1"/>
    <col min="10" max="10" width="12.7109375" customWidth="1"/>
  </cols>
  <sheetData>
    <row r="1" spans="1:10" x14ac:dyDescent="0.25">
      <c r="D1" s="1"/>
      <c r="E1" s="1"/>
      <c r="F1" s="1"/>
      <c r="H1" s="67" t="s">
        <v>0</v>
      </c>
    </row>
    <row r="2" spans="1:10" x14ac:dyDescent="0.25">
      <c r="D2" s="2"/>
      <c r="E2" s="2"/>
      <c r="F2" s="2"/>
      <c r="H2" s="68" t="s">
        <v>1</v>
      </c>
    </row>
    <row r="3" spans="1:10" x14ac:dyDescent="0.25">
      <c r="D3" s="2"/>
      <c r="E3" s="2"/>
      <c r="F3" s="2"/>
      <c r="H3" s="68" t="s">
        <v>2</v>
      </c>
    </row>
    <row r="4" spans="1:10" x14ac:dyDescent="0.25">
      <c r="D4" s="2"/>
      <c r="E4" s="2"/>
      <c r="F4" s="2"/>
      <c r="H4" s="68" t="s">
        <v>31</v>
      </c>
    </row>
    <row r="5" spans="1:10" ht="21" x14ac:dyDescent="0.35">
      <c r="B5" s="3"/>
      <c r="D5" s="4"/>
      <c r="E5" s="5"/>
      <c r="F5" s="5"/>
      <c r="H5" s="69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752</v>
      </c>
      <c r="B7" s="7"/>
      <c r="C7" s="7"/>
      <c r="D7" s="8"/>
      <c r="E7" s="8"/>
      <c r="F7" s="8"/>
      <c r="G7" s="8"/>
      <c r="H7" s="70" t="s">
        <v>4</v>
      </c>
      <c r="I7" s="186" t="s">
        <v>5</v>
      </c>
      <c r="J7" s="186"/>
    </row>
    <row r="8" spans="1:10" x14ac:dyDescent="0.25">
      <c r="A8" s="9" t="s">
        <v>751</v>
      </c>
      <c r="B8" s="7"/>
      <c r="C8" s="7"/>
      <c r="D8" s="8"/>
      <c r="E8" s="8"/>
      <c r="F8" s="8"/>
      <c r="G8" s="8"/>
      <c r="H8" s="70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70" t="s">
        <v>8</v>
      </c>
      <c r="I9" s="186" t="s">
        <v>753</v>
      </c>
      <c r="J9" s="186"/>
    </row>
    <row r="10" spans="1:10" x14ac:dyDescent="0.25">
      <c r="B10" t="s">
        <v>9</v>
      </c>
      <c r="C10" s="10" t="s">
        <v>754</v>
      </c>
      <c r="D10" s="10"/>
      <c r="E10" s="10"/>
      <c r="F10" s="10"/>
    </row>
    <row r="11" spans="1:10" x14ac:dyDescent="0.25">
      <c r="B11" t="s">
        <v>11</v>
      </c>
      <c r="C11" s="10" t="s">
        <v>755</v>
      </c>
      <c r="D11" s="11"/>
      <c r="E11" s="11"/>
      <c r="F11" s="11"/>
    </row>
    <row r="12" spans="1:10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71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757</v>
      </c>
      <c r="C16" s="24" t="s">
        <v>23</v>
      </c>
      <c r="D16" s="25">
        <v>72</v>
      </c>
      <c r="E16" s="26">
        <v>28</v>
      </c>
      <c r="F16" s="27">
        <f t="shared" ref="F16:F29" si="0">D16*E16</f>
        <v>2016</v>
      </c>
      <c r="G16" s="27">
        <f>F16*0</f>
        <v>0</v>
      </c>
      <c r="H16" s="26">
        <f>E16*1</f>
        <v>28</v>
      </c>
      <c r="I16" s="27">
        <f t="shared" ref="I16:I29" si="1">H16*D16</f>
        <v>2016</v>
      </c>
      <c r="J16" s="28"/>
    </row>
    <row r="17" spans="1:10" s="21" customFormat="1" ht="25.5" x14ac:dyDescent="0.25">
      <c r="A17" s="22">
        <f>A16+1</f>
        <v>2</v>
      </c>
      <c r="B17" s="23" t="s">
        <v>758</v>
      </c>
      <c r="C17" s="24" t="s">
        <v>770</v>
      </c>
      <c r="D17" s="25">
        <v>20</v>
      </c>
      <c r="E17" s="26">
        <v>250</v>
      </c>
      <c r="F17" s="27">
        <f t="shared" si="0"/>
        <v>5000</v>
      </c>
      <c r="G17" s="27">
        <f>F17*0.17</f>
        <v>850.00000000000011</v>
      </c>
      <c r="H17" s="26">
        <f>E17*1.17</f>
        <v>292.5</v>
      </c>
      <c r="I17" s="27">
        <f t="shared" si="1"/>
        <v>5850</v>
      </c>
      <c r="J17" s="28"/>
    </row>
    <row r="18" spans="1:10" s="21" customFormat="1" ht="25.5" x14ac:dyDescent="0.25">
      <c r="A18" s="22">
        <f t="shared" ref="A18:A28" si="2">A17+1</f>
        <v>3</v>
      </c>
      <c r="B18" s="23" t="s">
        <v>759</v>
      </c>
      <c r="C18" s="24" t="s">
        <v>23</v>
      </c>
      <c r="D18" s="25">
        <v>120</v>
      </c>
      <c r="E18" s="26">
        <v>65</v>
      </c>
      <c r="F18" s="27">
        <f t="shared" si="0"/>
        <v>7800</v>
      </c>
      <c r="G18" s="27">
        <f>F18*0.17</f>
        <v>1326</v>
      </c>
      <c r="H18" s="26">
        <f>E18*1.17</f>
        <v>76.05</v>
      </c>
      <c r="I18" s="27">
        <f t="shared" si="1"/>
        <v>9126</v>
      </c>
      <c r="J18" s="28"/>
    </row>
    <row r="19" spans="1:10" s="21" customFormat="1" x14ac:dyDescent="0.25">
      <c r="A19" s="22">
        <f t="shared" si="2"/>
        <v>4</v>
      </c>
      <c r="B19" s="23" t="s">
        <v>760</v>
      </c>
      <c r="C19" s="24" t="s">
        <v>23</v>
      </c>
      <c r="D19" s="25">
        <v>6</v>
      </c>
      <c r="E19" s="26">
        <v>160</v>
      </c>
      <c r="F19" s="27">
        <f t="shared" si="0"/>
        <v>960</v>
      </c>
      <c r="G19" s="27">
        <f>F19*0.17</f>
        <v>163.20000000000002</v>
      </c>
      <c r="H19" s="26">
        <f>E19*1.17</f>
        <v>187.2</v>
      </c>
      <c r="I19" s="27">
        <f t="shared" si="1"/>
        <v>1123.1999999999998</v>
      </c>
      <c r="J19" s="28"/>
    </row>
    <row r="20" spans="1:10" s="21" customFormat="1" ht="25.5" x14ac:dyDescent="0.25">
      <c r="A20" s="22">
        <f t="shared" si="2"/>
        <v>5</v>
      </c>
      <c r="B20" s="23" t="s">
        <v>761</v>
      </c>
      <c r="C20" s="24" t="s">
        <v>23</v>
      </c>
      <c r="D20" s="25">
        <v>1000</v>
      </c>
      <c r="E20" s="26">
        <v>5.8</v>
      </c>
      <c r="F20" s="27">
        <f t="shared" si="0"/>
        <v>5800</v>
      </c>
      <c r="G20" s="27">
        <f>F20*0</f>
        <v>0</v>
      </c>
      <c r="H20" s="26">
        <f>E20*1</f>
        <v>5.8</v>
      </c>
      <c r="I20" s="27">
        <f t="shared" si="1"/>
        <v>5800</v>
      </c>
      <c r="J20" s="28"/>
    </row>
    <row r="21" spans="1:10" s="21" customFormat="1" ht="25.5" x14ac:dyDescent="0.25">
      <c r="A21" s="22">
        <f t="shared" si="2"/>
        <v>6</v>
      </c>
      <c r="B21" s="23" t="s">
        <v>762</v>
      </c>
      <c r="C21" s="24" t="s">
        <v>23</v>
      </c>
      <c r="D21" s="25">
        <v>200</v>
      </c>
      <c r="E21" s="26">
        <v>5.8</v>
      </c>
      <c r="F21" s="27">
        <f t="shared" si="0"/>
        <v>1160</v>
      </c>
      <c r="G21" s="27">
        <f>F21*0</f>
        <v>0</v>
      </c>
      <c r="H21" s="26">
        <f>E21*1</f>
        <v>5.8</v>
      </c>
      <c r="I21" s="27">
        <f t="shared" si="1"/>
        <v>1160</v>
      </c>
      <c r="J21" s="28"/>
    </row>
    <row r="22" spans="1:10" s="21" customFormat="1" ht="25.5" x14ac:dyDescent="0.25">
      <c r="A22" s="22">
        <f t="shared" si="2"/>
        <v>7</v>
      </c>
      <c r="B22" s="23" t="s">
        <v>763</v>
      </c>
      <c r="C22" s="24" t="s">
        <v>23</v>
      </c>
      <c r="D22" s="25">
        <v>200</v>
      </c>
      <c r="E22" s="26">
        <v>5.8</v>
      </c>
      <c r="F22" s="27">
        <f t="shared" si="0"/>
        <v>1160</v>
      </c>
      <c r="G22" s="27">
        <f>F22*0</f>
        <v>0</v>
      </c>
      <c r="H22" s="26">
        <f>E22*1</f>
        <v>5.8</v>
      </c>
      <c r="I22" s="27">
        <f t="shared" si="1"/>
        <v>1160</v>
      </c>
      <c r="J22" s="28"/>
    </row>
    <row r="23" spans="1:10" s="21" customFormat="1" ht="25.5" x14ac:dyDescent="0.25">
      <c r="A23" s="22">
        <f t="shared" si="2"/>
        <v>8</v>
      </c>
      <c r="B23" s="23" t="s">
        <v>764</v>
      </c>
      <c r="C23" s="24" t="s">
        <v>770</v>
      </c>
      <c r="D23" s="25">
        <v>120</v>
      </c>
      <c r="E23" s="26">
        <v>22</v>
      </c>
      <c r="F23" s="27">
        <f t="shared" si="0"/>
        <v>2640</v>
      </c>
      <c r="G23" s="27">
        <f>F23*0.17</f>
        <v>448.8</v>
      </c>
      <c r="H23" s="26">
        <f>E23*1.17</f>
        <v>25.74</v>
      </c>
      <c r="I23" s="27">
        <f t="shared" si="1"/>
        <v>3088.7999999999997</v>
      </c>
      <c r="J23" s="28"/>
    </row>
    <row r="24" spans="1:10" s="21" customFormat="1" x14ac:dyDescent="0.25">
      <c r="A24" s="22">
        <f t="shared" si="2"/>
        <v>9</v>
      </c>
      <c r="B24" s="23" t="s">
        <v>765</v>
      </c>
      <c r="C24" s="24" t="s">
        <v>770</v>
      </c>
      <c r="D24" s="25">
        <v>12</v>
      </c>
      <c r="E24" s="26">
        <v>25</v>
      </c>
      <c r="F24" s="27">
        <f t="shared" si="0"/>
        <v>300</v>
      </c>
      <c r="G24" s="27">
        <f>F24*0.17</f>
        <v>51.000000000000007</v>
      </c>
      <c r="H24" s="26">
        <f>E24*1.17</f>
        <v>29.25</v>
      </c>
      <c r="I24" s="27">
        <f t="shared" si="1"/>
        <v>351</v>
      </c>
      <c r="J24" s="28"/>
    </row>
    <row r="25" spans="1:10" s="21" customFormat="1" ht="25.5" x14ac:dyDescent="0.25">
      <c r="A25" s="22">
        <f t="shared" si="2"/>
        <v>10</v>
      </c>
      <c r="B25" s="23" t="s">
        <v>766</v>
      </c>
      <c r="C25" s="24" t="s">
        <v>23</v>
      </c>
      <c r="D25" s="25">
        <v>6</v>
      </c>
      <c r="E25" s="26">
        <v>24</v>
      </c>
      <c r="F25" s="27">
        <f t="shared" si="0"/>
        <v>144</v>
      </c>
      <c r="G25" s="27">
        <f>F25*0</f>
        <v>0</v>
      </c>
      <c r="H25" s="26">
        <f>E25*1</f>
        <v>24</v>
      </c>
      <c r="I25" s="27">
        <f t="shared" si="1"/>
        <v>144</v>
      </c>
      <c r="J25" s="28"/>
    </row>
    <row r="26" spans="1:10" s="21" customFormat="1" ht="25.5" x14ac:dyDescent="0.25">
      <c r="A26" s="22">
        <f t="shared" si="2"/>
        <v>11</v>
      </c>
      <c r="B26" s="23" t="s">
        <v>767</v>
      </c>
      <c r="C26" s="24" t="s">
        <v>23</v>
      </c>
      <c r="D26" s="25">
        <v>24</v>
      </c>
      <c r="E26" s="26">
        <v>28</v>
      </c>
      <c r="F26" s="27">
        <f t="shared" si="0"/>
        <v>672</v>
      </c>
      <c r="G26" s="27">
        <f>F26*0.17</f>
        <v>114.24000000000001</v>
      </c>
      <c r="H26" s="26">
        <f>E26*1.17</f>
        <v>32.76</v>
      </c>
      <c r="I26" s="27">
        <f t="shared" si="1"/>
        <v>786.24</v>
      </c>
      <c r="J26" s="28"/>
    </row>
    <row r="27" spans="1:10" s="21" customFormat="1" ht="25.5" x14ac:dyDescent="0.25">
      <c r="A27" s="22">
        <f t="shared" si="2"/>
        <v>12</v>
      </c>
      <c r="B27" s="23" t="s">
        <v>768</v>
      </c>
      <c r="C27" s="24" t="s">
        <v>23</v>
      </c>
      <c r="D27" s="25">
        <v>300</v>
      </c>
      <c r="E27" s="26">
        <v>2</v>
      </c>
      <c r="F27" s="27">
        <f t="shared" si="0"/>
        <v>600</v>
      </c>
      <c r="G27" s="27">
        <f>F27*0.17</f>
        <v>102.00000000000001</v>
      </c>
      <c r="H27" s="26">
        <f>E27*1.17</f>
        <v>2.34</v>
      </c>
      <c r="I27" s="27">
        <f t="shared" si="1"/>
        <v>702</v>
      </c>
      <c r="J27" s="28"/>
    </row>
    <row r="28" spans="1:10" s="21" customFormat="1" x14ac:dyDescent="0.25">
      <c r="A28" s="22">
        <f t="shared" si="2"/>
        <v>13</v>
      </c>
      <c r="B28" s="23" t="s">
        <v>769</v>
      </c>
      <c r="C28" s="24" t="s">
        <v>23</v>
      </c>
      <c r="D28" s="25">
        <v>36</v>
      </c>
      <c r="E28" s="26">
        <v>5</v>
      </c>
      <c r="F28" s="27">
        <f t="shared" si="0"/>
        <v>180</v>
      </c>
      <c r="G28" s="27">
        <f>F28*0</f>
        <v>0</v>
      </c>
      <c r="H28" s="26">
        <f>E28*1</f>
        <v>5</v>
      </c>
      <c r="I28" s="27">
        <f t="shared" si="1"/>
        <v>180</v>
      </c>
      <c r="J28" s="28"/>
    </row>
    <row r="29" spans="1:10" s="21" customFormat="1" x14ac:dyDescent="0.25">
      <c r="A29" s="22"/>
      <c r="B29" s="23"/>
      <c r="C29" s="24"/>
      <c r="D29" s="25"/>
      <c r="E29" s="26"/>
      <c r="F29" s="27">
        <f t="shared" si="0"/>
        <v>0</v>
      </c>
      <c r="G29" s="27">
        <f>F29*0.17</f>
        <v>0</v>
      </c>
      <c r="H29" s="26">
        <f>E29*1.17</f>
        <v>0</v>
      </c>
      <c r="I29" s="27">
        <f t="shared" si="1"/>
        <v>0</v>
      </c>
      <c r="J29" s="28"/>
    </row>
    <row r="30" spans="1:10" ht="15.75" thickBot="1" x14ac:dyDescent="0.3">
      <c r="A30" s="33"/>
      <c r="B30" s="34" t="s">
        <v>24</v>
      </c>
      <c r="C30" s="35"/>
      <c r="D30" s="36">
        <f>SUM(D16:D29)</f>
        <v>2116</v>
      </c>
      <c r="E30" s="35"/>
      <c r="F30" s="36">
        <f>SUM(F16:F29)</f>
        <v>28432</v>
      </c>
      <c r="G30" s="36">
        <f>SUM(G16:G29)</f>
        <v>3055.24</v>
      </c>
      <c r="H30" s="35"/>
      <c r="I30" s="36">
        <f>SUM(I16:I29)</f>
        <v>31487.24</v>
      </c>
      <c r="J30" s="37"/>
    </row>
    <row r="31" spans="1:10" ht="15.75" thickTop="1" x14ac:dyDescent="0.25">
      <c r="A31" s="33"/>
      <c r="B31" s="34" t="s">
        <v>771</v>
      </c>
      <c r="C31" s="35"/>
      <c r="D31" s="35"/>
      <c r="E31" s="35"/>
      <c r="F31" s="35"/>
      <c r="G31" s="35"/>
      <c r="H31" s="35"/>
      <c r="I31" s="35"/>
      <c r="J31" s="37"/>
    </row>
    <row r="32" spans="1:10" x14ac:dyDescent="0.25">
      <c r="A32" s="33"/>
      <c r="B32" s="38" t="s">
        <v>25</v>
      </c>
      <c r="C32" s="35"/>
      <c r="D32" s="35"/>
      <c r="E32" s="35"/>
      <c r="F32" s="35"/>
      <c r="G32" s="35"/>
      <c r="H32" s="35"/>
      <c r="I32" s="35"/>
      <c r="J32" s="37"/>
    </row>
    <row r="33" spans="2:10" ht="30" customHeight="1" x14ac:dyDescent="0.25">
      <c r="B33" s="183" t="s">
        <v>26</v>
      </c>
      <c r="C33" s="183"/>
      <c r="D33" s="183"/>
      <c r="E33" s="183"/>
      <c r="F33" s="183"/>
      <c r="G33" s="183"/>
      <c r="H33" s="183"/>
      <c r="I33" s="183"/>
      <c r="J33" s="183"/>
    </row>
    <row r="34" spans="2:10" x14ac:dyDescent="0.25">
      <c r="B34" t="s">
        <v>27</v>
      </c>
    </row>
    <row r="36" spans="2:10" x14ac:dyDescent="0.25">
      <c r="B36" t="s">
        <v>28</v>
      </c>
      <c r="H36" s="64" t="s">
        <v>28</v>
      </c>
    </row>
    <row r="37" spans="2:10" x14ac:dyDescent="0.25">
      <c r="B37" t="s">
        <v>29</v>
      </c>
      <c r="H37" s="64" t="s">
        <v>30</v>
      </c>
    </row>
  </sheetData>
  <mergeCells count="5">
    <mergeCell ref="A6:J6"/>
    <mergeCell ref="I7:J7"/>
    <mergeCell ref="I8:J8"/>
    <mergeCell ref="I9:J9"/>
    <mergeCell ref="B33:J33"/>
  </mergeCells>
  <hyperlinks>
    <hyperlink ref="H5" r:id="rId1" xr:uid="{00000000-0004-0000-0B00-000000000000}"/>
  </hyperlinks>
  <pageMargins left="0.2" right="0.1" top="0.25" bottom="0.25" header="0.3" footer="0.3"/>
  <pageSetup paperSize="9" orientation="portrait" r:id="rId2"/>
  <drawing r:id="rId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25"/>
  <sheetViews>
    <sheetView workbookViewId="0">
      <selection activeCell="H10" sqref="H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748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747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749</v>
      </c>
      <c r="C16" s="54" t="s">
        <v>23</v>
      </c>
      <c r="D16" s="55">
        <v>12</v>
      </c>
      <c r="E16" s="56">
        <v>60</v>
      </c>
      <c r="F16" s="56">
        <f t="shared" ref="F16" si="0">D16*E16</f>
        <v>720</v>
      </c>
      <c r="G16" s="56">
        <f>F16*0.17</f>
        <v>122.4</v>
      </c>
      <c r="H16" s="57">
        <f>E16*1.17</f>
        <v>70.199999999999989</v>
      </c>
      <c r="I16" s="56">
        <f t="shared" ref="I16" si="1">H16*D16</f>
        <v>842.39999999999986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12</v>
      </c>
      <c r="E17" s="35"/>
      <c r="F17" s="62">
        <f>SUM(F16:F16)</f>
        <v>720</v>
      </c>
      <c r="G17" s="62">
        <f>SUM(G16:G16)</f>
        <v>122.4</v>
      </c>
      <c r="H17" s="35"/>
      <c r="I17" s="62">
        <f>SUM(I16:I16)</f>
        <v>842.39999999999986</v>
      </c>
      <c r="J17" s="37"/>
    </row>
    <row r="18" spans="1:10" ht="15.75" thickTop="1" x14ac:dyDescent="0.25">
      <c r="A18" s="33"/>
      <c r="B18" s="34" t="s">
        <v>750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C000000}"/>
  <mergeCells count="5">
    <mergeCell ref="A6:J6"/>
    <mergeCell ref="I7:J7"/>
    <mergeCell ref="I8:J8"/>
    <mergeCell ref="I9:J9"/>
    <mergeCell ref="B20:J20"/>
  </mergeCells>
  <hyperlinks>
    <hyperlink ref="H5" r:id="rId1" xr:uid="{00000000-0004-0000-0C00-000000000000}"/>
  </hyperlinks>
  <pageMargins left="0.2" right="0.1" top="0.25" bottom="0.25" header="0.3" footer="0.3"/>
  <pageSetup paperSize="9" orientation="portrait" r:id="rId2"/>
  <drawing r:id="rId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25"/>
  <sheetViews>
    <sheetView workbookViewId="0">
      <selection activeCell="I11" sqref="I1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745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744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746</v>
      </c>
      <c r="C16" s="54" t="s">
        <v>23</v>
      </c>
      <c r="D16" s="55">
        <v>18</v>
      </c>
      <c r="E16" s="56">
        <v>440</v>
      </c>
      <c r="F16" s="56">
        <f t="shared" ref="F16" si="0">D16*E16</f>
        <v>7920</v>
      </c>
      <c r="G16" s="56">
        <f>F16*0.17</f>
        <v>1346.4</v>
      </c>
      <c r="H16" s="57">
        <f>E16*1.17</f>
        <v>514.79999999999995</v>
      </c>
      <c r="I16" s="56">
        <f t="shared" ref="I16" si="1">H16*D16</f>
        <v>9266.4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18</v>
      </c>
      <c r="E17" s="35"/>
      <c r="F17" s="62">
        <f>SUM(F16:F16)</f>
        <v>7920</v>
      </c>
      <c r="G17" s="62">
        <f>SUM(G16:G16)</f>
        <v>1346.4</v>
      </c>
      <c r="H17" s="35"/>
      <c r="I17" s="62">
        <f>SUM(I16:I16)</f>
        <v>9266.4</v>
      </c>
      <c r="J17" s="37"/>
    </row>
    <row r="18" spans="1:10" ht="15.75" thickTop="1" x14ac:dyDescent="0.25">
      <c r="A18" s="33"/>
      <c r="B18" s="34" t="s">
        <v>775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D000000}"/>
  <mergeCells count="5">
    <mergeCell ref="A6:J6"/>
    <mergeCell ref="I7:J7"/>
    <mergeCell ref="I8:J8"/>
    <mergeCell ref="I9:J9"/>
    <mergeCell ref="B20:J20"/>
  </mergeCells>
  <hyperlinks>
    <hyperlink ref="H5" r:id="rId1" xr:uid="{00000000-0004-0000-0D00-000000000000}"/>
  </hyperlinks>
  <pageMargins left="0.2" right="0.1" top="0.25" bottom="0.25" header="0.3" footer="0.3"/>
  <pageSetup paperSize="9" orientation="portrait" r:id="rId2"/>
  <drawing r:id="rId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25"/>
  <sheetViews>
    <sheetView topLeftCell="A2" workbookViewId="0">
      <selection activeCell="A19" sqref="A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741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740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108</v>
      </c>
      <c r="C16" s="24" t="s">
        <v>269</v>
      </c>
      <c r="D16" s="25">
        <v>20</v>
      </c>
      <c r="E16" s="26">
        <v>510</v>
      </c>
      <c r="F16" s="27">
        <f>D16*E16</f>
        <v>10200</v>
      </c>
      <c r="G16" s="27">
        <f>F16*0.17</f>
        <v>1734.0000000000002</v>
      </c>
      <c r="H16" s="39">
        <f>E16*1.17</f>
        <v>596.69999999999993</v>
      </c>
      <c r="I16" s="27">
        <f>H16*D16</f>
        <v>11933.999999999998</v>
      </c>
      <c r="J16" s="28"/>
    </row>
    <row r="17" spans="1:10" s="21" customFormat="1" ht="25.5" x14ac:dyDescent="0.25">
      <c r="A17" s="22">
        <v>2</v>
      </c>
      <c r="B17" s="23" t="s">
        <v>742</v>
      </c>
      <c r="C17" s="24" t="s">
        <v>269</v>
      </c>
      <c r="D17" s="25">
        <v>1</v>
      </c>
      <c r="E17" s="26">
        <v>790</v>
      </c>
      <c r="F17" s="27">
        <f>D17*E17</f>
        <v>790</v>
      </c>
      <c r="G17" s="27">
        <f>F17*0.17</f>
        <v>134.30000000000001</v>
      </c>
      <c r="H17" s="39">
        <f>E17*1.17</f>
        <v>924.3</v>
      </c>
      <c r="I17" s="27">
        <f>H17*D17</f>
        <v>924.3</v>
      </c>
      <c r="J17" s="28"/>
    </row>
    <row r="18" spans="1:10" ht="15.75" thickBot="1" x14ac:dyDescent="0.3">
      <c r="A18" s="33"/>
      <c r="B18" s="34" t="s">
        <v>24</v>
      </c>
      <c r="C18" s="35"/>
      <c r="D18" s="36">
        <f>SUM(D16:D17)</f>
        <v>21</v>
      </c>
      <c r="E18" s="35"/>
      <c r="F18" s="36">
        <f>SUM(F16:F17)</f>
        <v>10990</v>
      </c>
      <c r="G18" s="36">
        <f>SUM(G16:G17)</f>
        <v>1868.3000000000002</v>
      </c>
      <c r="H18" s="35"/>
      <c r="I18" s="36">
        <f>SUM(I16:I17)</f>
        <v>12858.299999999997</v>
      </c>
      <c r="J18" s="37"/>
    </row>
    <row r="19" spans="1:10" ht="15.75" thickTop="1" x14ac:dyDescent="0.25">
      <c r="A19" s="33"/>
      <c r="B19" s="34" t="s">
        <v>743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0E00-000000000000}"/>
  </hyperlinks>
  <pageMargins left="0.2" right="0.1" top="0.25" bottom="0.25" header="0.3" footer="0.3"/>
  <pageSetup paperSize="9" orientation="portrait" r:id="rId2"/>
  <drawing r:id="rId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25"/>
  <sheetViews>
    <sheetView workbookViewId="0">
      <selection activeCell="H3" sqref="H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734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733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601</v>
      </c>
      <c r="D10" s="10"/>
      <c r="E10" s="10"/>
      <c r="F10" s="10"/>
    </row>
    <row r="11" spans="1:15" x14ac:dyDescent="0.25">
      <c r="B11" t="s">
        <v>11</v>
      </c>
      <c r="C11" s="10" t="s">
        <v>736</v>
      </c>
      <c r="D11" s="11"/>
      <c r="E11" s="11"/>
      <c r="F11" s="11"/>
    </row>
    <row r="12" spans="1:15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1" t="s">
        <v>735</v>
      </c>
      <c r="D13" s="15"/>
      <c r="E13" s="15"/>
      <c r="F13" s="15"/>
      <c r="G13" s="16"/>
      <c r="H13" s="16"/>
      <c r="I13" s="16"/>
    </row>
    <row r="14" spans="1:15" ht="5.0999999999999996" customHeight="1" thickBot="1" x14ac:dyDescent="0.3">
      <c r="C14" s="14"/>
    </row>
    <row r="15" spans="1:15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  <c r="M15" s="21" t="s">
        <v>738</v>
      </c>
    </row>
    <row r="16" spans="1:15" s="21" customFormat="1" x14ac:dyDescent="0.25">
      <c r="A16" s="53">
        <v>1</v>
      </c>
      <c r="B16" s="47" t="s">
        <v>737</v>
      </c>
      <c r="C16" s="54" t="s">
        <v>23</v>
      </c>
      <c r="D16" s="55">
        <v>150</v>
      </c>
      <c r="E16" s="56">
        <v>425</v>
      </c>
      <c r="F16" s="56">
        <f>D16*E16</f>
        <v>63750</v>
      </c>
      <c r="G16" s="56">
        <f>F16*0.17</f>
        <v>10837.5</v>
      </c>
      <c r="H16" s="57">
        <f>E16*1.17</f>
        <v>497.24999999999994</v>
      </c>
      <c r="I16" s="56">
        <f>H16*D16</f>
        <v>74587.499999999985</v>
      </c>
      <c r="J16" s="58"/>
      <c r="M16" s="21">
        <f>440*1.02</f>
        <v>448.8</v>
      </c>
      <c r="N16" s="66">
        <f>M16-M17</f>
        <v>65.21025641025642</v>
      </c>
      <c r="O16" s="21">
        <f>N16*D16</f>
        <v>9781.5384615384628</v>
      </c>
    </row>
    <row r="17" spans="1:18" ht="15.75" thickBot="1" x14ac:dyDescent="0.3">
      <c r="A17" s="33"/>
      <c r="B17" s="34" t="s">
        <v>24</v>
      </c>
      <c r="C17" s="35"/>
      <c r="D17" s="62">
        <f>SUM(D16:D16)</f>
        <v>150</v>
      </c>
      <c r="E17" s="35"/>
      <c r="F17" s="62">
        <f>SUM(F16:F16)</f>
        <v>63750</v>
      </c>
      <c r="G17" s="62">
        <f>SUM(G16:G16)</f>
        <v>10837.5</v>
      </c>
      <c r="H17" s="35"/>
      <c r="I17" s="62">
        <f>SUM(I16:I16)</f>
        <v>74587.499999999985</v>
      </c>
      <c r="J17" s="37"/>
      <c r="M17">
        <f>M16/117*100</f>
        <v>383.58974358974359</v>
      </c>
      <c r="O17">
        <f>M17*1.1</f>
        <v>421.94871794871796</v>
      </c>
    </row>
    <row r="18" spans="1:18" ht="15.75" thickTop="1" x14ac:dyDescent="0.25">
      <c r="A18" s="33"/>
      <c r="B18" s="34" t="s">
        <v>739</v>
      </c>
      <c r="C18" s="35"/>
      <c r="D18" s="35"/>
      <c r="E18" s="35"/>
      <c r="F18" s="35"/>
      <c r="G18" s="35"/>
      <c r="H18" s="35"/>
      <c r="I18" s="35"/>
      <c r="J18" s="37"/>
    </row>
    <row r="19" spans="1:18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  <c r="M19" s="64">
        <f>M17*D16</f>
        <v>57538.461538461539</v>
      </c>
      <c r="O19" s="65">
        <f>F16</f>
        <v>63750</v>
      </c>
      <c r="P19" s="64">
        <f>O19-M19</f>
        <v>6211.538461538461</v>
      </c>
      <c r="Q19" s="64">
        <f>I16*0.045</f>
        <v>3356.4374999999991</v>
      </c>
      <c r="R19" s="64">
        <f>P19-Q19</f>
        <v>2855.1009615384619</v>
      </c>
    </row>
    <row r="20" spans="1:18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  <c r="P20" s="64"/>
      <c r="R20" s="65">
        <f>G16-O16</f>
        <v>1055.9615384615372</v>
      </c>
    </row>
    <row r="21" spans="1:18" x14ac:dyDescent="0.25">
      <c r="B21" t="s">
        <v>27</v>
      </c>
    </row>
    <row r="24" spans="1:18" x14ac:dyDescent="0.25">
      <c r="B24" t="s">
        <v>28</v>
      </c>
      <c r="H24" t="s">
        <v>28</v>
      </c>
    </row>
    <row r="25" spans="1:18" x14ac:dyDescent="0.25">
      <c r="B25" t="s">
        <v>29</v>
      </c>
      <c r="H25" t="s">
        <v>30</v>
      </c>
    </row>
  </sheetData>
  <autoFilter ref="A15:J21" xr:uid="{00000000-0009-0000-0000-00000F000000}"/>
  <mergeCells count="5">
    <mergeCell ref="A6:J6"/>
    <mergeCell ref="I7:J7"/>
    <mergeCell ref="I8:J8"/>
    <mergeCell ref="I9:J9"/>
    <mergeCell ref="B20:J20"/>
  </mergeCells>
  <hyperlinks>
    <hyperlink ref="H5" r:id="rId1" xr:uid="{00000000-0004-0000-0F00-000000000000}"/>
  </hyperlinks>
  <pageMargins left="0.2" right="0.1" top="0.25" bottom="0.25" header="0.3" footer="0.3"/>
  <pageSetup paperSize="9" orientation="portrait" r:id="rId2"/>
  <drawing r:id="rId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25"/>
  <sheetViews>
    <sheetView topLeftCell="A9" workbookViewId="0">
      <selection activeCell="B23" sqref="B2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730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731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710</v>
      </c>
      <c r="C16" s="54" t="s">
        <v>23</v>
      </c>
      <c r="D16" s="55">
        <v>50</v>
      </c>
      <c r="E16" s="56">
        <v>300</v>
      </c>
      <c r="F16" s="56">
        <f t="shared" ref="F16" si="0">D16*E16</f>
        <v>15000</v>
      </c>
      <c r="G16" s="56">
        <f>F16*0.17</f>
        <v>2550</v>
      </c>
      <c r="H16" s="57">
        <f>E16*1.17</f>
        <v>351</v>
      </c>
      <c r="I16" s="56">
        <f t="shared" ref="I16" si="1">H16*D16</f>
        <v>17550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50</v>
      </c>
      <c r="E17" s="35"/>
      <c r="F17" s="62">
        <f>SUM(F16:F16)</f>
        <v>15000</v>
      </c>
      <c r="G17" s="62">
        <f>SUM(G16:G16)</f>
        <v>2550</v>
      </c>
      <c r="H17" s="35"/>
      <c r="I17" s="62">
        <f>SUM(I16:I16)</f>
        <v>17550</v>
      </c>
      <c r="J17" s="37"/>
    </row>
    <row r="18" spans="1:10" ht="15.75" thickTop="1" x14ac:dyDescent="0.25">
      <c r="A18" s="33"/>
      <c r="B18" s="34" t="s">
        <v>732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10000000}"/>
  <mergeCells count="5">
    <mergeCell ref="A6:J6"/>
    <mergeCell ref="I7:J7"/>
    <mergeCell ref="I8:J8"/>
    <mergeCell ref="I9:J9"/>
    <mergeCell ref="B20:J20"/>
  </mergeCells>
  <hyperlinks>
    <hyperlink ref="H5" r:id="rId1" xr:uid="{00000000-0004-0000-1000-000000000000}"/>
  </hyperlinks>
  <pageMargins left="0.2" right="0.1" top="0.25" bottom="0.25" header="0.3" footer="0.3"/>
  <pageSetup paperSize="9" orientation="portrait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15FAA-FA0F-42FE-8BCF-409EC63FEAAB}">
  <sheetPr filterMode="1"/>
  <dimension ref="A1:R33"/>
  <sheetViews>
    <sheetView topLeftCell="A9" workbookViewId="0">
      <selection activeCell="F16" sqref="F16:F2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2260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1519</v>
      </c>
      <c r="C16" s="53" t="s">
        <v>1506</v>
      </c>
      <c r="D16" s="79">
        <v>2</v>
      </c>
      <c r="E16" s="56">
        <v>32</v>
      </c>
      <c r="F16" s="56">
        <f t="shared" ref="F16:F23" si="0">D16*E16</f>
        <v>64</v>
      </c>
      <c r="G16" s="149">
        <f>F16*0</f>
        <v>0</v>
      </c>
      <c r="H16" s="85">
        <f>E16*1</f>
        <v>32</v>
      </c>
      <c r="I16" s="56">
        <f t="shared" ref="I16:I23" si="1">H16*D16</f>
        <v>64</v>
      </c>
      <c r="J16" s="83"/>
      <c r="N16" s="66"/>
    </row>
    <row r="17" spans="1:18" s="21" customFormat="1" ht="15.75" hidden="1" x14ac:dyDescent="0.25">
      <c r="A17" s="53">
        <v>2</v>
      </c>
      <c r="B17" s="78" t="s">
        <v>1487</v>
      </c>
      <c r="C17" s="53" t="s">
        <v>1506</v>
      </c>
      <c r="D17" s="79">
        <v>1</v>
      </c>
      <c r="E17" s="56">
        <v>155</v>
      </c>
      <c r="F17" s="56">
        <f t="shared" si="0"/>
        <v>155</v>
      </c>
      <c r="G17" s="149">
        <f t="shared" ref="G17" si="2">F17*0.17</f>
        <v>26.35</v>
      </c>
      <c r="H17" s="85">
        <f t="shared" ref="H17" si="3">E17*1.17</f>
        <v>181.35</v>
      </c>
      <c r="I17" s="56">
        <f t="shared" si="1"/>
        <v>181.35</v>
      </c>
      <c r="J17" s="83"/>
      <c r="N17" s="66"/>
    </row>
    <row r="18" spans="1:18" s="21" customFormat="1" ht="25.5" x14ac:dyDescent="0.25">
      <c r="A18" s="53">
        <v>3</v>
      </c>
      <c r="B18" s="78" t="s">
        <v>1513</v>
      </c>
      <c r="C18" s="53" t="s">
        <v>1505</v>
      </c>
      <c r="D18" s="79">
        <v>1</v>
      </c>
      <c r="E18" s="56">
        <v>75</v>
      </c>
      <c r="F18" s="56">
        <f t="shared" si="0"/>
        <v>75</v>
      </c>
      <c r="G18" s="149">
        <f t="shared" ref="G18:G22" si="4">F18*0</f>
        <v>0</v>
      </c>
      <c r="H18" s="85">
        <f t="shared" ref="H18:H22" si="5">E18*1</f>
        <v>75</v>
      </c>
      <c r="I18" s="56">
        <f t="shared" si="1"/>
        <v>75</v>
      </c>
      <c r="J18" s="83"/>
      <c r="N18" s="66"/>
    </row>
    <row r="19" spans="1:18" s="21" customFormat="1" ht="15.75" x14ac:dyDescent="0.25">
      <c r="A19" s="53">
        <v>4</v>
      </c>
      <c r="B19" s="78" t="s">
        <v>1529</v>
      </c>
      <c r="C19" s="53" t="s">
        <v>23</v>
      </c>
      <c r="D19" s="79">
        <v>2</v>
      </c>
      <c r="E19" s="56">
        <v>28</v>
      </c>
      <c r="F19" s="56">
        <f t="shared" si="0"/>
        <v>56</v>
      </c>
      <c r="G19" s="149">
        <f t="shared" si="4"/>
        <v>0</v>
      </c>
      <c r="H19" s="85">
        <f t="shared" si="5"/>
        <v>28</v>
      </c>
      <c r="I19" s="56">
        <f t="shared" si="1"/>
        <v>56</v>
      </c>
      <c r="J19" s="83"/>
      <c r="N19" s="66"/>
    </row>
    <row r="20" spans="1:18" s="21" customFormat="1" ht="15.75" x14ac:dyDescent="0.25">
      <c r="A20" s="53">
        <v>5</v>
      </c>
      <c r="B20" s="78" t="s">
        <v>1501</v>
      </c>
      <c r="C20" s="53" t="s">
        <v>1506</v>
      </c>
      <c r="D20" s="79">
        <v>2</v>
      </c>
      <c r="E20" s="56">
        <v>28</v>
      </c>
      <c r="F20" s="56">
        <f t="shared" si="0"/>
        <v>56</v>
      </c>
      <c r="G20" s="149">
        <f t="shared" si="4"/>
        <v>0</v>
      </c>
      <c r="H20" s="85">
        <f t="shared" si="5"/>
        <v>28</v>
      </c>
      <c r="I20" s="56">
        <f t="shared" si="1"/>
        <v>56</v>
      </c>
      <c r="J20" s="83"/>
      <c r="N20" s="66"/>
    </row>
    <row r="21" spans="1:18" s="21" customFormat="1" ht="15.75" x14ac:dyDescent="0.25">
      <c r="A21" s="53">
        <v>6</v>
      </c>
      <c r="B21" s="78" t="s">
        <v>1502</v>
      </c>
      <c r="C21" s="53" t="s">
        <v>1506</v>
      </c>
      <c r="D21" s="79">
        <v>1</v>
      </c>
      <c r="E21" s="56">
        <v>7</v>
      </c>
      <c r="F21" s="56">
        <f t="shared" si="0"/>
        <v>7</v>
      </c>
      <c r="G21" s="149">
        <f t="shared" si="4"/>
        <v>0</v>
      </c>
      <c r="H21" s="85">
        <f t="shared" si="5"/>
        <v>7</v>
      </c>
      <c r="I21" s="56">
        <f t="shared" si="1"/>
        <v>7</v>
      </c>
      <c r="J21" s="83"/>
      <c r="N21" s="66"/>
    </row>
    <row r="22" spans="1:18" s="21" customFormat="1" ht="15.75" x14ac:dyDescent="0.25">
      <c r="A22" s="53">
        <v>7</v>
      </c>
      <c r="B22" s="78" t="s">
        <v>1949</v>
      </c>
      <c r="C22" s="53" t="s">
        <v>76</v>
      </c>
      <c r="D22" s="79">
        <v>5</v>
      </c>
      <c r="E22" s="56">
        <v>75</v>
      </c>
      <c r="F22" s="56">
        <f t="shared" si="0"/>
        <v>375</v>
      </c>
      <c r="G22" s="149">
        <f t="shared" si="4"/>
        <v>0</v>
      </c>
      <c r="H22" s="85">
        <f t="shared" si="5"/>
        <v>75</v>
      </c>
      <c r="I22" s="56">
        <f t="shared" si="1"/>
        <v>375</v>
      </c>
      <c r="J22" s="83"/>
      <c r="N22" s="66"/>
    </row>
    <row r="23" spans="1:18" s="21" customFormat="1" ht="25.5" hidden="1" x14ac:dyDescent="0.25">
      <c r="A23" s="53">
        <v>8</v>
      </c>
      <c r="B23" s="78" t="s">
        <v>2247</v>
      </c>
      <c r="C23" s="53" t="s">
        <v>23</v>
      </c>
      <c r="D23" s="79">
        <v>1</v>
      </c>
      <c r="E23" s="56">
        <v>380</v>
      </c>
      <c r="F23" s="56">
        <f t="shared" si="0"/>
        <v>380</v>
      </c>
      <c r="G23" s="149">
        <f t="shared" ref="G23" si="6">F23*0.17</f>
        <v>64.600000000000009</v>
      </c>
      <c r="H23" s="85">
        <f t="shared" ref="H23" si="7">E23*1.17</f>
        <v>444.59999999999997</v>
      </c>
      <c r="I23" s="56">
        <f t="shared" si="1"/>
        <v>444.59999999999997</v>
      </c>
      <c r="J23" s="83"/>
      <c r="N23" s="66"/>
    </row>
    <row r="24" spans="1:18" s="21" customFormat="1" ht="15.75" hidden="1" x14ac:dyDescent="0.25">
      <c r="A24" s="53"/>
      <c r="B24" s="78"/>
      <c r="C24" s="53"/>
      <c r="D24" s="79"/>
      <c r="E24" s="56"/>
      <c r="F24" s="56"/>
      <c r="G24" s="149"/>
      <c r="H24" s="85"/>
      <c r="I24" s="56"/>
      <c r="J24" s="83"/>
      <c r="N24" s="66"/>
    </row>
    <row r="25" spans="1:18" ht="15.75" hidden="1" thickBot="1" x14ac:dyDescent="0.3">
      <c r="A25" s="33"/>
      <c r="B25" s="34" t="s">
        <v>24</v>
      </c>
      <c r="C25" s="35"/>
      <c r="D25" s="62">
        <f>SUM(D16:D24)</f>
        <v>15</v>
      </c>
      <c r="E25" s="35"/>
      <c r="F25" s="62">
        <f>SUM(F16:F24)</f>
        <v>1168</v>
      </c>
      <c r="G25" s="62">
        <f>SUM(G16:G24)</f>
        <v>90.950000000000017</v>
      </c>
      <c r="H25" s="35"/>
      <c r="I25" s="62">
        <f>SUM(I16:I24)</f>
        <v>1258.95</v>
      </c>
      <c r="J25" s="37"/>
    </row>
    <row r="26" spans="1:18" hidden="1" x14ac:dyDescent="0.25">
      <c r="A26" s="33"/>
      <c r="B26" s="34" t="s">
        <v>2259</v>
      </c>
      <c r="C26" s="35"/>
      <c r="D26" s="35"/>
      <c r="E26" s="35"/>
      <c r="F26" s="35"/>
      <c r="G26" s="35"/>
      <c r="H26" s="35"/>
      <c r="I26" s="35"/>
      <c r="J26" s="37"/>
    </row>
    <row r="27" spans="1:18" hidden="1" x14ac:dyDescent="0.25">
      <c r="A27" s="33"/>
      <c r="B27" s="38" t="s">
        <v>25</v>
      </c>
      <c r="C27" s="35"/>
      <c r="D27" s="35"/>
      <c r="E27" s="35"/>
      <c r="F27" s="35"/>
      <c r="G27" s="35"/>
      <c r="H27" s="35"/>
      <c r="I27" s="35"/>
      <c r="J27" s="37"/>
      <c r="M27" s="64"/>
      <c r="O27" s="65"/>
      <c r="P27" s="64"/>
      <c r="Q27" s="64"/>
      <c r="R27" s="64"/>
    </row>
    <row r="28" spans="1:18" ht="30" hidden="1" customHeight="1" x14ac:dyDescent="0.25">
      <c r="B28" s="183" t="s">
        <v>26</v>
      </c>
      <c r="C28" s="183"/>
      <c r="D28" s="183"/>
      <c r="E28" s="183"/>
      <c r="F28" s="183"/>
      <c r="G28" s="183"/>
      <c r="H28" s="183"/>
      <c r="I28" s="183"/>
      <c r="J28" s="183"/>
      <c r="P28" s="64"/>
      <c r="R28" s="65"/>
    </row>
    <row r="29" spans="1:18" hidden="1" x14ac:dyDescent="0.25">
      <c r="B29" t="s">
        <v>634</v>
      </c>
    </row>
    <row r="32" spans="1:18" x14ac:dyDescent="0.25">
      <c r="B32" t="s">
        <v>28</v>
      </c>
      <c r="H32" t="s">
        <v>28</v>
      </c>
    </row>
    <row r="33" spans="2:8" x14ac:dyDescent="0.25">
      <c r="B33" t="s">
        <v>29</v>
      </c>
      <c r="H33" t="s">
        <v>30</v>
      </c>
    </row>
  </sheetData>
  <autoFilter ref="A15:J29" xr:uid="{00000000-0009-0000-0000-000000000000}">
    <filterColumn colId="6">
      <filters>
        <filter val="-"/>
      </filters>
    </filterColumn>
  </autoFilter>
  <mergeCells count="5">
    <mergeCell ref="A6:J6"/>
    <mergeCell ref="I7:J7"/>
    <mergeCell ref="I8:J8"/>
    <mergeCell ref="I9:J9"/>
    <mergeCell ref="B28:J28"/>
  </mergeCells>
  <hyperlinks>
    <hyperlink ref="H5" r:id="rId1" xr:uid="{7701BE18-C708-4FD3-B74E-FEB00F0A1B72}"/>
  </hyperlinks>
  <pageMargins left="0.2" right="0.1" top="0.25" bottom="0.25" header="0.3" footer="0.3"/>
  <pageSetup paperSize="9" orientation="portrait" r:id="rId2"/>
  <drawing r:id="rId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37"/>
  <sheetViews>
    <sheetView workbookViewId="0">
      <selection activeCell="A8" sqref="A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729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715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>
        <v>8800585460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716</v>
      </c>
      <c r="C16" s="54" t="s">
        <v>23</v>
      </c>
      <c r="D16" s="55">
        <v>20</v>
      </c>
      <c r="E16" s="56">
        <v>535</v>
      </c>
      <c r="F16" s="56">
        <f t="shared" ref="F16:F28" si="0">D16*E16</f>
        <v>10700</v>
      </c>
      <c r="G16" s="56">
        <f t="shared" ref="G16:G22" si="1">F16*0.17</f>
        <v>1819.0000000000002</v>
      </c>
      <c r="H16" s="57">
        <f t="shared" ref="H16:H22" si="2">E16*1.17</f>
        <v>625.94999999999993</v>
      </c>
      <c r="I16" s="56">
        <f t="shared" ref="I16:I28" si="3">H16*D16</f>
        <v>12518.999999999998</v>
      </c>
      <c r="J16" s="58"/>
    </row>
    <row r="17" spans="1:12" s="21" customFormat="1" x14ac:dyDescent="0.25">
      <c r="A17" s="53">
        <f>A16+1</f>
        <v>2</v>
      </c>
      <c r="B17" s="47" t="s">
        <v>717</v>
      </c>
      <c r="C17" s="54" t="s">
        <v>76</v>
      </c>
      <c r="D17" s="55">
        <v>5</v>
      </c>
      <c r="E17" s="56">
        <v>132</v>
      </c>
      <c r="F17" s="56">
        <f t="shared" si="0"/>
        <v>660</v>
      </c>
      <c r="G17" s="56">
        <f t="shared" si="1"/>
        <v>112.2</v>
      </c>
      <c r="H17" s="57">
        <f t="shared" si="2"/>
        <v>154.44</v>
      </c>
      <c r="I17" s="56">
        <f t="shared" si="3"/>
        <v>772.2</v>
      </c>
      <c r="J17" s="58"/>
    </row>
    <row r="18" spans="1:12" s="21" customFormat="1" x14ac:dyDescent="0.25">
      <c r="A18" s="53">
        <f t="shared" ref="A18:A28" si="4">A17+1</f>
        <v>3</v>
      </c>
      <c r="B18" s="47" t="s">
        <v>718</v>
      </c>
      <c r="C18" s="54" t="s">
        <v>76</v>
      </c>
      <c r="D18" s="55">
        <v>5</v>
      </c>
      <c r="E18" s="56">
        <v>100</v>
      </c>
      <c r="F18" s="56">
        <f t="shared" ref="F18:F21" si="5">D18*E18</f>
        <v>500</v>
      </c>
      <c r="G18" s="56">
        <f t="shared" si="1"/>
        <v>85</v>
      </c>
      <c r="H18" s="57">
        <f t="shared" si="2"/>
        <v>117</v>
      </c>
      <c r="I18" s="56">
        <f t="shared" ref="I18:I21" si="6">H18*D18</f>
        <v>585</v>
      </c>
      <c r="J18" s="58"/>
    </row>
    <row r="19" spans="1:12" s="21" customFormat="1" x14ac:dyDescent="0.25">
      <c r="A19" s="53">
        <f t="shared" si="4"/>
        <v>4</v>
      </c>
      <c r="B19" s="47" t="s">
        <v>724</v>
      </c>
      <c r="C19" s="54" t="s">
        <v>76</v>
      </c>
      <c r="D19" s="55">
        <v>5</v>
      </c>
      <c r="E19" s="56">
        <v>70</v>
      </c>
      <c r="F19" s="56">
        <f t="shared" si="5"/>
        <v>350</v>
      </c>
      <c r="G19" s="56">
        <f t="shared" si="1"/>
        <v>59.500000000000007</v>
      </c>
      <c r="H19" s="57">
        <f t="shared" si="2"/>
        <v>81.899999999999991</v>
      </c>
      <c r="I19" s="56">
        <f t="shared" si="6"/>
        <v>409.49999999999994</v>
      </c>
      <c r="J19" s="58"/>
    </row>
    <row r="20" spans="1:12" s="21" customFormat="1" x14ac:dyDescent="0.25">
      <c r="A20" s="53">
        <f t="shared" si="4"/>
        <v>5</v>
      </c>
      <c r="B20" s="47" t="s">
        <v>725</v>
      </c>
      <c r="C20" s="54" t="s">
        <v>76</v>
      </c>
      <c r="D20" s="55">
        <v>5</v>
      </c>
      <c r="E20" s="56">
        <v>60</v>
      </c>
      <c r="F20" s="56">
        <f t="shared" si="5"/>
        <v>300</v>
      </c>
      <c r="G20" s="56">
        <f t="shared" si="1"/>
        <v>51.000000000000007</v>
      </c>
      <c r="H20" s="57">
        <f t="shared" si="2"/>
        <v>70.199999999999989</v>
      </c>
      <c r="I20" s="56">
        <f t="shared" si="6"/>
        <v>350.99999999999994</v>
      </c>
      <c r="J20" s="58"/>
    </row>
    <row r="21" spans="1:12" s="21" customFormat="1" x14ac:dyDescent="0.25">
      <c r="A21" s="53">
        <f t="shared" si="4"/>
        <v>6</v>
      </c>
      <c r="B21" s="47" t="s">
        <v>726</v>
      </c>
      <c r="C21" s="54" t="s">
        <v>76</v>
      </c>
      <c r="D21" s="55">
        <v>5</v>
      </c>
      <c r="E21" s="56">
        <v>50</v>
      </c>
      <c r="F21" s="56">
        <f t="shared" si="5"/>
        <v>250</v>
      </c>
      <c r="G21" s="56">
        <f t="shared" si="1"/>
        <v>42.5</v>
      </c>
      <c r="H21" s="57">
        <f t="shared" si="2"/>
        <v>58.5</v>
      </c>
      <c r="I21" s="56">
        <f t="shared" si="6"/>
        <v>292.5</v>
      </c>
      <c r="J21" s="58"/>
    </row>
    <row r="22" spans="1:12" s="21" customFormat="1" x14ac:dyDescent="0.25">
      <c r="A22" s="53">
        <f t="shared" si="4"/>
        <v>7</v>
      </c>
      <c r="B22" s="47" t="s">
        <v>719</v>
      </c>
      <c r="C22" s="54" t="s">
        <v>76</v>
      </c>
      <c r="D22" s="55">
        <v>5</v>
      </c>
      <c r="E22" s="56">
        <v>40</v>
      </c>
      <c r="F22" s="56">
        <f t="shared" si="0"/>
        <v>200</v>
      </c>
      <c r="G22" s="56">
        <f t="shared" si="1"/>
        <v>34</v>
      </c>
      <c r="H22" s="57">
        <f t="shared" si="2"/>
        <v>46.8</v>
      </c>
      <c r="I22" s="56">
        <f t="shared" si="3"/>
        <v>234</v>
      </c>
      <c r="J22" s="58"/>
    </row>
    <row r="23" spans="1:12" s="21" customFormat="1" x14ac:dyDescent="0.25">
      <c r="A23" s="53">
        <f t="shared" si="4"/>
        <v>8</v>
      </c>
      <c r="B23" s="47" t="s">
        <v>487</v>
      </c>
      <c r="C23" s="54" t="s">
        <v>23</v>
      </c>
      <c r="D23" s="55">
        <v>500</v>
      </c>
      <c r="E23" s="56">
        <v>30</v>
      </c>
      <c r="F23" s="56">
        <f t="shared" si="0"/>
        <v>15000</v>
      </c>
      <c r="G23" s="56">
        <f>F23*0</f>
        <v>0</v>
      </c>
      <c r="H23" s="57">
        <f>E23*1</f>
        <v>30</v>
      </c>
      <c r="I23" s="56">
        <f t="shared" si="3"/>
        <v>15000</v>
      </c>
      <c r="J23" s="58"/>
    </row>
    <row r="24" spans="1:12" s="21" customFormat="1" x14ac:dyDescent="0.25">
      <c r="A24" s="53">
        <f t="shared" si="4"/>
        <v>9</v>
      </c>
      <c r="B24" s="47" t="s">
        <v>727</v>
      </c>
      <c r="C24" s="54" t="s">
        <v>23</v>
      </c>
      <c r="D24" s="55">
        <v>100</v>
      </c>
      <c r="E24" s="56">
        <v>90</v>
      </c>
      <c r="F24" s="56">
        <f t="shared" ref="F24:F25" si="7">D24*E24</f>
        <v>9000</v>
      </c>
      <c r="G24" s="56">
        <f>F24*0.17</f>
        <v>1530</v>
      </c>
      <c r="H24" s="57">
        <f>E24*1.17</f>
        <v>105.3</v>
      </c>
      <c r="I24" s="56">
        <f t="shared" ref="I24:I25" si="8">H24*D24</f>
        <v>10530</v>
      </c>
      <c r="J24" s="58"/>
    </row>
    <row r="25" spans="1:12" s="21" customFormat="1" x14ac:dyDescent="0.25">
      <c r="A25" s="53">
        <f t="shared" si="4"/>
        <v>10</v>
      </c>
      <c r="B25" s="47" t="s">
        <v>720</v>
      </c>
      <c r="C25" s="54" t="s">
        <v>23</v>
      </c>
      <c r="D25" s="55">
        <v>2000</v>
      </c>
      <c r="E25" s="56">
        <v>9</v>
      </c>
      <c r="F25" s="56">
        <f t="shared" si="7"/>
        <v>18000</v>
      </c>
      <c r="G25" s="56">
        <f>F25*0</f>
        <v>0</v>
      </c>
      <c r="H25" s="57">
        <f>E25*1</f>
        <v>9</v>
      </c>
      <c r="I25" s="56">
        <f t="shared" si="8"/>
        <v>18000</v>
      </c>
      <c r="J25" s="58"/>
    </row>
    <row r="26" spans="1:12" s="21" customFormat="1" x14ac:dyDescent="0.25">
      <c r="A26" s="53">
        <f t="shared" si="4"/>
        <v>11</v>
      </c>
      <c r="B26" s="47" t="s">
        <v>721</v>
      </c>
      <c r="C26" s="54" t="s">
        <v>23</v>
      </c>
      <c r="D26" s="55">
        <v>10</v>
      </c>
      <c r="E26" s="56">
        <v>750</v>
      </c>
      <c r="F26" s="56">
        <f t="shared" ref="F26:F27" si="9">D26*E26</f>
        <v>7500</v>
      </c>
      <c r="G26" s="56">
        <f>F26*0.17</f>
        <v>1275</v>
      </c>
      <c r="H26" s="57">
        <f>E26*1.17</f>
        <v>877.5</v>
      </c>
      <c r="I26" s="56">
        <f t="shared" ref="I26:I27" si="10">H26*D26</f>
        <v>8775</v>
      </c>
      <c r="J26" s="58"/>
    </row>
    <row r="27" spans="1:12" s="21" customFormat="1" x14ac:dyDescent="0.25">
      <c r="A27" s="53">
        <f t="shared" si="4"/>
        <v>12</v>
      </c>
      <c r="B27" s="47" t="s">
        <v>722</v>
      </c>
      <c r="C27" s="54" t="s">
        <v>23</v>
      </c>
      <c r="D27" s="55">
        <v>100</v>
      </c>
      <c r="E27" s="56">
        <v>48</v>
      </c>
      <c r="F27" s="56">
        <f t="shared" si="9"/>
        <v>4800</v>
      </c>
      <c r="G27" s="56">
        <f>F27*0.17</f>
        <v>816.00000000000011</v>
      </c>
      <c r="H27" s="57">
        <f>E27*1.17</f>
        <v>56.16</v>
      </c>
      <c r="I27" s="56">
        <f t="shared" si="10"/>
        <v>5616</v>
      </c>
      <c r="J27" s="58"/>
    </row>
    <row r="28" spans="1:12" s="21" customFormat="1" x14ac:dyDescent="0.25">
      <c r="A28" s="53">
        <f t="shared" si="4"/>
        <v>13</v>
      </c>
      <c r="B28" s="47" t="s">
        <v>723</v>
      </c>
      <c r="C28" s="54" t="s">
        <v>23</v>
      </c>
      <c r="D28" s="55">
        <v>500</v>
      </c>
      <c r="E28" s="56">
        <v>50</v>
      </c>
      <c r="F28" s="56">
        <f t="shared" si="0"/>
        <v>25000</v>
      </c>
      <c r="G28" s="56">
        <f>F28*0.17</f>
        <v>4250</v>
      </c>
      <c r="H28" s="57">
        <f>E28*1.17</f>
        <v>58.5</v>
      </c>
      <c r="I28" s="56">
        <f t="shared" si="3"/>
        <v>29250</v>
      </c>
      <c r="J28" s="58"/>
    </row>
    <row r="29" spans="1:12" ht="15.75" thickBot="1" x14ac:dyDescent="0.3">
      <c r="A29" s="33"/>
      <c r="B29" s="34" t="s">
        <v>24</v>
      </c>
      <c r="C29" s="35"/>
      <c r="D29" s="62">
        <f>SUM(D16:D16)</f>
        <v>20</v>
      </c>
      <c r="E29" s="35"/>
      <c r="F29" s="62">
        <f>SUM(F16:F28)</f>
        <v>92260</v>
      </c>
      <c r="G29" s="62">
        <f>SUM(G16:G28)</f>
        <v>10074.200000000001</v>
      </c>
      <c r="H29" s="35"/>
      <c r="I29" s="62">
        <f>SUM(I16:I28)</f>
        <v>102334.2</v>
      </c>
      <c r="J29" s="37"/>
      <c r="K29">
        <v>2550</v>
      </c>
    </row>
    <row r="30" spans="1:12" ht="15.75" thickTop="1" x14ac:dyDescent="0.25">
      <c r="A30" s="33"/>
      <c r="B30" s="34" t="s">
        <v>728</v>
      </c>
      <c r="C30" s="35"/>
      <c r="D30" s="35"/>
      <c r="E30" s="35"/>
      <c r="F30" s="35"/>
      <c r="G30" s="35"/>
      <c r="H30" s="35"/>
      <c r="I30" s="35"/>
      <c r="J30" s="37"/>
      <c r="K30">
        <v>3060</v>
      </c>
      <c r="L30" s="63">
        <f>I29+K29+K30</f>
        <v>107944.2</v>
      </c>
    </row>
    <row r="31" spans="1:12" x14ac:dyDescent="0.25">
      <c r="A31" s="33"/>
      <c r="B31" s="38" t="s">
        <v>25</v>
      </c>
      <c r="C31" s="35"/>
      <c r="D31" s="35"/>
      <c r="E31" s="35"/>
      <c r="F31" s="35"/>
      <c r="G31" s="35"/>
      <c r="H31" s="35"/>
      <c r="I31" s="35"/>
      <c r="J31" s="37"/>
    </row>
    <row r="32" spans="1:12" ht="30" customHeight="1" x14ac:dyDescent="0.25">
      <c r="B32" s="183" t="s">
        <v>26</v>
      </c>
      <c r="C32" s="183"/>
      <c r="D32" s="183"/>
      <c r="E32" s="183"/>
      <c r="F32" s="183"/>
      <c r="G32" s="183"/>
      <c r="H32" s="183"/>
      <c r="I32" s="183"/>
      <c r="J32" s="183"/>
    </row>
    <row r="33" spans="2:8" x14ac:dyDescent="0.25">
      <c r="B33" t="s">
        <v>27</v>
      </c>
    </row>
    <row r="36" spans="2:8" x14ac:dyDescent="0.25">
      <c r="B36" t="s">
        <v>28</v>
      </c>
      <c r="H36" t="s">
        <v>28</v>
      </c>
    </row>
    <row r="37" spans="2:8" x14ac:dyDescent="0.25">
      <c r="B37" t="s">
        <v>29</v>
      </c>
      <c r="H37" t="s">
        <v>30</v>
      </c>
    </row>
  </sheetData>
  <autoFilter ref="A15:J33" xr:uid="{00000000-0009-0000-0000-000011000000}"/>
  <mergeCells count="5">
    <mergeCell ref="A6:J6"/>
    <mergeCell ref="I7:J7"/>
    <mergeCell ref="I8:J8"/>
    <mergeCell ref="I9:J9"/>
    <mergeCell ref="B32:J32"/>
  </mergeCells>
  <hyperlinks>
    <hyperlink ref="H5" r:id="rId1" xr:uid="{00000000-0004-0000-1100-000000000000}"/>
  </hyperlinks>
  <pageMargins left="0.2" right="0.1" top="0.25" bottom="0.25" header="0.3" footer="0.3"/>
  <pageSetup paperSize="9" orientation="portrait" r:id="rId2"/>
  <drawing r:id="rId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25"/>
  <sheetViews>
    <sheetView workbookViewId="0">
      <selection activeCell="A7" sqref="A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712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713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108</v>
      </c>
      <c r="C16" s="24" t="s">
        <v>269</v>
      </c>
      <c r="D16" s="25">
        <v>20</v>
      </c>
      <c r="E16" s="26">
        <v>508</v>
      </c>
      <c r="F16" s="27">
        <f>D16*E16</f>
        <v>10160</v>
      </c>
      <c r="G16" s="27">
        <f>F16*0.17</f>
        <v>1727.2</v>
      </c>
      <c r="H16" s="39">
        <f>E16*1.17</f>
        <v>594.36</v>
      </c>
      <c r="I16" s="27">
        <f>H16*D16</f>
        <v>11887.2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20</v>
      </c>
      <c r="E18" s="35"/>
      <c r="F18" s="36">
        <f>SUM(F16:F16)</f>
        <v>10160</v>
      </c>
      <c r="G18" s="36">
        <f>SUM(G16:G16)</f>
        <v>1727.2</v>
      </c>
      <c r="H18" s="35"/>
      <c r="I18" s="36">
        <f>SUM(I16:I16)</f>
        <v>11887.2</v>
      </c>
      <c r="J18" s="37"/>
    </row>
    <row r="19" spans="1:10" ht="15.75" thickTop="1" x14ac:dyDescent="0.25">
      <c r="A19" s="33"/>
      <c r="B19" s="34" t="s">
        <v>714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1200-000000000000}"/>
  </hyperlinks>
  <pageMargins left="0.2" right="0.1" top="0.25" bottom="0.25" header="0.3" footer="0.3"/>
  <pageSetup paperSize="9" orientation="portrait" r:id="rId2"/>
  <drawing r:id="rId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25"/>
  <sheetViews>
    <sheetView workbookViewId="0">
      <selection activeCell="A14" sqref="A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708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709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710</v>
      </c>
      <c r="C16" s="54" t="s">
        <v>23</v>
      </c>
      <c r="D16" s="55">
        <v>100</v>
      </c>
      <c r="E16" s="56">
        <v>300</v>
      </c>
      <c r="F16" s="56">
        <f t="shared" ref="F16" si="0">D16*E16</f>
        <v>30000</v>
      </c>
      <c r="G16" s="56">
        <f>F16*0.17</f>
        <v>5100</v>
      </c>
      <c r="H16" s="57">
        <f>E16*1.17</f>
        <v>351</v>
      </c>
      <c r="I16" s="56">
        <f t="shared" ref="I16" si="1">H16*D16</f>
        <v>35100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100</v>
      </c>
      <c r="E17" s="35"/>
      <c r="F17" s="62">
        <f>SUM(F16:F16)</f>
        <v>30000</v>
      </c>
      <c r="G17" s="62">
        <f>SUM(G16:G16)</f>
        <v>5100</v>
      </c>
      <c r="H17" s="35"/>
      <c r="I17" s="62">
        <f>SUM(I16:I16)</f>
        <v>35100</v>
      </c>
      <c r="J17" s="37"/>
    </row>
    <row r="18" spans="1:10" ht="15.75" thickTop="1" x14ac:dyDescent="0.25">
      <c r="A18" s="33"/>
      <c r="B18" s="34" t="s">
        <v>711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13000000}"/>
  <mergeCells count="5">
    <mergeCell ref="A6:J6"/>
    <mergeCell ref="I7:J7"/>
    <mergeCell ref="I8:J8"/>
    <mergeCell ref="I9:J9"/>
    <mergeCell ref="B20:J20"/>
  </mergeCells>
  <hyperlinks>
    <hyperlink ref="H5" r:id="rId1" xr:uid="{00000000-0004-0000-1300-000000000000}"/>
  </hyperlinks>
  <pageMargins left="0.2" right="0.1" top="0.25" bottom="0.25" header="0.3" footer="0.3"/>
  <pageSetup paperSize="9" orientation="portrait" r:id="rId2"/>
  <drawing r:id="rId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5"/>
  <sheetViews>
    <sheetView workbookViewId="0">
      <selection activeCell="C10" sqref="C10:C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686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705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601</v>
      </c>
      <c r="D10" s="10"/>
      <c r="E10" s="10"/>
      <c r="F10" s="10"/>
    </row>
    <row r="11" spans="1:10" x14ac:dyDescent="0.25">
      <c r="B11" t="s">
        <v>11</v>
      </c>
      <c r="C11" s="10"/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/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17</v>
      </c>
      <c r="B16" s="47" t="s">
        <v>700</v>
      </c>
      <c r="C16" s="54" t="s">
        <v>56</v>
      </c>
      <c r="D16" s="55">
        <v>70</v>
      </c>
      <c r="E16" s="56">
        <v>450</v>
      </c>
      <c r="F16" s="56">
        <f t="shared" ref="F16" si="0">D16*E16</f>
        <v>31500</v>
      </c>
      <c r="G16" s="56">
        <f>F16*0.17</f>
        <v>5355</v>
      </c>
      <c r="H16" s="57">
        <f>E16*1.17</f>
        <v>526.5</v>
      </c>
      <c r="I16" s="56">
        <f t="shared" ref="I16" si="1">H16*D16</f>
        <v>36855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70</v>
      </c>
      <c r="E17" s="35"/>
      <c r="F17" s="62">
        <f>SUM(F16:F16)</f>
        <v>31500</v>
      </c>
      <c r="G17" s="62">
        <f>SUM(G16:G16)</f>
        <v>5355</v>
      </c>
      <c r="H17" s="35"/>
      <c r="I17" s="62">
        <f>SUM(I16:I16)</f>
        <v>36855</v>
      </c>
      <c r="J17" s="37"/>
    </row>
    <row r="18" spans="1:10" ht="15.75" thickTop="1" x14ac:dyDescent="0.25">
      <c r="A18" s="33"/>
      <c r="B18" s="34" t="s">
        <v>707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14000000}"/>
  <mergeCells count="5">
    <mergeCell ref="A6:J6"/>
    <mergeCell ref="I7:J7"/>
    <mergeCell ref="I8:J8"/>
    <mergeCell ref="I9:J9"/>
    <mergeCell ref="B20:J20"/>
  </mergeCells>
  <hyperlinks>
    <hyperlink ref="H5" r:id="rId1" xr:uid="{00000000-0004-0000-1400-000000000000}"/>
  </hyperlinks>
  <pageMargins left="0.2" right="0.1" top="0.25" bottom="0.25" header="0.3" footer="0.3"/>
  <pageSetup paperSize="9" orientation="portrait" r:id="rId2"/>
  <drawing r:id="rId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46"/>
  <sheetViews>
    <sheetView workbookViewId="0">
      <selection activeCell="A18" sqref="A1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686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687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602</v>
      </c>
      <c r="J9" s="188"/>
    </row>
    <row r="10" spans="1:10" x14ac:dyDescent="0.25">
      <c r="B10" t="s">
        <v>9</v>
      </c>
      <c r="C10" s="10" t="s">
        <v>601</v>
      </c>
      <c r="D10" s="10"/>
      <c r="E10" s="10"/>
      <c r="F10" s="10"/>
    </row>
    <row r="11" spans="1:10" x14ac:dyDescent="0.25">
      <c r="B11" t="s">
        <v>11</v>
      </c>
      <c r="C11" s="10"/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/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688</v>
      </c>
      <c r="C16" s="54" t="s">
        <v>76</v>
      </c>
      <c r="D16" s="55">
        <v>15</v>
      </c>
      <c r="E16" s="56">
        <f>1053/D16/100*100</f>
        <v>70.2</v>
      </c>
      <c r="F16" s="56">
        <f t="shared" ref="F16" si="0">D16*E16</f>
        <v>1053</v>
      </c>
      <c r="G16" s="56">
        <f>F16*0</f>
        <v>0</v>
      </c>
      <c r="H16" s="57">
        <f>E16*1</f>
        <v>70.2</v>
      </c>
      <c r="I16" s="56">
        <f t="shared" ref="I16" si="1">H16*D16</f>
        <v>1053</v>
      </c>
      <c r="J16" s="58"/>
    </row>
    <row r="17" spans="1:10" s="21" customFormat="1" x14ac:dyDescent="0.25">
      <c r="A17" s="53">
        <v>2</v>
      </c>
      <c r="B17" s="47" t="s">
        <v>689</v>
      </c>
      <c r="C17" s="54" t="s">
        <v>76</v>
      </c>
      <c r="D17" s="55">
        <v>15</v>
      </c>
      <c r="E17" s="56">
        <f>1053/D17/100*100</f>
        <v>70.2</v>
      </c>
      <c r="F17" s="56">
        <f t="shared" ref="F17" si="2">D17*E17</f>
        <v>1053</v>
      </c>
      <c r="G17" s="56">
        <f>F17*0</f>
        <v>0</v>
      </c>
      <c r="H17" s="57">
        <f>E17*1</f>
        <v>70.2</v>
      </c>
      <c r="I17" s="56">
        <f t="shared" ref="I17" si="3">H17*D17</f>
        <v>1053</v>
      </c>
      <c r="J17" s="58"/>
    </row>
    <row r="18" spans="1:10" s="21" customFormat="1" x14ac:dyDescent="0.25">
      <c r="A18" s="53">
        <v>3</v>
      </c>
      <c r="B18" s="47" t="s">
        <v>119</v>
      </c>
      <c r="C18" s="54" t="s">
        <v>23</v>
      </c>
      <c r="D18" s="55">
        <v>200</v>
      </c>
      <c r="E18" s="56">
        <f>35100/D18/117*100</f>
        <v>150</v>
      </c>
      <c r="F18" s="56">
        <f t="shared" ref="F18" si="4">D18*E18</f>
        <v>30000</v>
      </c>
      <c r="G18" s="56">
        <f t="shared" ref="G18:G37" si="5">F18*0.17</f>
        <v>5100</v>
      </c>
      <c r="H18" s="57">
        <f t="shared" ref="H18:H37" si="6">E18*1.17</f>
        <v>175.5</v>
      </c>
      <c r="I18" s="56">
        <f t="shared" ref="I18" si="7">H18*D18</f>
        <v>35100</v>
      </c>
      <c r="J18" s="58"/>
    </row>
    <row r="19" spans="1:10" s="21" customFormat="1" x14ac:dyDescent="0.25">
      <c r="A19" s="53">
        <v>4</v>
      </c>
      <c r="B19" s="47" t="s">
        <v>690</v>
      </c>
      <c r="C19" s="54" t="s">
        <v>273</v>
      </c>
      <c r="D19" s="55">
        <v>10</v>
      </c>
      <c r="E19" s="56">
        <f>257/D19/117*100</f>
        <v>21.965811965811966</v>
      </c>
      <c r="F19" s="56">
        <f t="shared" ref="F19" si="8">D19*E19</f>
        <v>219.65811965811966</v>
      </c>
      <c r="G19" s="56">
        <f t="shared" si="5"/>
        <v>37.341880341880348</v>
      </c>
      <c r="H19" s="57">
        <f t="shared" si="6"/>
        <v>25.7</v>
      </c>
      <c r="I19" s="56">
        <f t="shared" ref="I19" si="9">H19*D19</f>
        <v>257</v>
      </c>
      <c r="J19" s="58"/>
    </row>
    <row r="20" spans="1:10" s="21" customFormat="1" x14ac:dyDescent="0.25">
      <c r="A20" s="53">
        <v>5</v>
      </c>
      <c r="B20" s="47" t="s">
        <v>691</v>
      </c>
      <c r="C20" s="54" t="s">
        <v>23</v>
      </c>
      <c r="D20" s="55">
        <v>2</v>
      </c>
      <c r="E20" s="56">
        <f>105.4/D20/117*100</f>
        <v>45.042735042735046</v>
      </c>
      <c r="F20" s="56">
        <f t="shared" ref="F20" si="10">D20*E20</f>
        <v>90.085470085470092</v>
      </c>
      <c r="G20" s="56">
        <f t="shared" si="5"/>
        <v>15.314529914529917</v>
      </c>
      <c r="H20" s="57">
        <f t="shared" si="6"/>
        <v>52.7</v>
      </c>
      <c r="I20" s="56">
        <f t="shared" ref="I20" si="11">H20*D20</f>
        <v>105.4</v>
      </c>
      <c r="J20" s="58"/>
    </row>
    <row r="21" spans="1:10" s="21" customFormat="1" x14ac:dyDescent="0.25">
      <c r="A21" s="53">
        <v>6</v>
      </c>
      <c r="B21" s="47" t="s">
        <v>608</v>
      </c>
      <c r="C21" s="54" t="s">
        <v>23</v>
      </c>
      <c r="D21" s="55">
        <v>2</v>
      </c>
      <c r="E21" s="56">
        <f>82/D21/117*100</f>
        <v>35.042735042735039</v>
      </c>
      <c r="F21" s="56">
        <f t="shared" ref="F21" si="12">D21*E21</f>
        <v>70.085470085470078</v>
      </c>
      <c r="G21" s="56">
        <f t="shared" si="5"/>
        <v>11.914529914529915</v>
      </c>
      <c r="H21" s="57">
        <f t="shared" si="6"/>
        <v>40.999999999999993</v>
      </c>
      <c r="I21" s="56">
        <f t="shared" ref="I21" si="13">H21*D21</f>
        <v>81.999999999999986</v>
      </c>
      <c r="J21" s="58"/>
    </row>
    <row r="22" spans="1:10" s="21" customFormat="1" x14ac:dyDescent="0.25">
      <c r="A22" s="53">
        <v>7</v>
      </c>
      <c r="B22" s="47" t="s">
        <v>692</v>
      </c>
      <c r="C22" s="54" t="s">
        <v>76</v>
      </c>
      <c r="D22" s="55">
        <v>2</v>
      </c>
      <c r="E22" s="56">
        <f>758.4/D22/117*100</f>
        <v>324.10256410256409</v>
      </c>
      <c r="F22" s="56">
        <f t="shared" ref="F22" si="14">D22*E22</f>
        <v>648.20512820512818</v>
      </c>
      <c r="G22" s="56">
        <f t="shared" si="5"/>
        <v>110.1948717948718</v>
      </c>
      <c r="H22" s="57">
        <f t="shared" si="6"/>
        <v>379.19999999999993</v>
      </c>
      <c r="I22" s="56">
        <f t="shared" ref="I22" si="15">H22*D22</f>
        <v>758.39999999999986</v>
      </c>
      <c r="J22" s="58"/>
    </row>
    <row r="23" spans="1:10" s="21" customFormat="1" ht="30" x14ac:dyDescent="0.25">
      <c r="A23" s="53">
        <v>8</v>
      </c>
      <c r="B23" s="47" t="s">
        <v>693</v>
      </c>
      <c r="C23" s="54" t="s">
        <v>76</v>
      </c>
      <c r="D23" s="55">
        <v>2</v>
      </c>
      <c r="E23" s="56">
        <f>984/D23/117*100</f>
        <v>420.51282051282055</v>
      </c>
      <c r="F23" s="56">
        <f t="shared" ref="F23" si="16">D23*E23</f>
        <v>841.02564102564111</v>
      </c>
      <c r="G23" s="56">
        <f t="shared" si="5"/>
        <v>142.97435897435901</v>
      </c>
      <c r="H23" s="57">
        <f t="shared" si="6"/>
        <v>492</v>
      </c>
      <c r="I23" s="56">
        <f t="shared" ref="I23" si="17">H23*D23</f>
        <v>984</v>
      </c>
      <c r="J23" s="58"/>
    </row>
    <row r="24" spans="1:10" s="21" customFormat="1" x14ac:dyDescent="0.25">
      <c r="A24" s="53">
        <v>9</v>
      </c>
      <c r="B24" s="47" t="s">
        <v>694</v>
      </c>
      <c r="C24" s="54" t="s">
        <v>76</v>
      </c>
      <c r="D24" s="55">
        <v>1</v>
      </c>
      <c r="E24" s="56">
        <f>168/D24/117*100</f>
        <v>143.58974358974359</v>
      </c>
      <c r="F24" s="56">
        <f t="shared" ref="F24" si="18">D24*E24</f>
        <v>143.58974358974359</v>
      </c>
      <c r="G24" s="56">
        <f t="shared" si="5"/>
        <v>24.410256410256412</v>
      </c>
      <c r="H24" s="57">
        <f t="shared" si="6"/>
        <v>168</v>
      </c>
      <c r="I24" s="56">
        <f t="shared" ref="I24" si="19">H24*D24</f>
        <v>168</v>
      </c>
      <c r="J24" s="58"/>
    </row>
    <row r="25" spans="1:10" s="21" customFormat="1" x14ac:dyDescent="0.25">
      <c r="A25" s="53">
        <v>10</v>
      </c>
      <c r="B25" s="47" t="s">
        <v>695</v>
      </c>
      <c r="C25" s="54" t="s">
        <v>23</v>
      </c>
      <c r="D25" s="55">
        <v>35</v>
      </c>
      <c r="E25" s="56">
        <f>1844.5/D25/117*100</f>
        <v>45.042735042735046</v>
      </c>
      <c r="F25" s="56">
        <f t="shared" ref="F25" si="20">D25*E25</f>
        <v>1576.4957264957266</v>
      </c>
      <c r="G25" s="56">
        <f t="shared" si="5"/>
        <v>268.00427350427356</v>
      </c>
      <c r="H25" s="57">
        <f t="shared" si="6"/>
        <v>52.7</v>
      </c>
      <c r="I25" s="56">
        <f t="shared" ref="I25" si="21">H25*D25</f>
        <v>1844.5</v>
      </c>
      <c r="J25" s="58"/>
    </row>
    <row r="26" spans="1:10" s="21" customFormat="1" x14ac:dyDescent="0.25">
      <c r="A26" s="53">
        <v>11</v>
      </c>
      <c r="B26" s="47" t="s">
        <v>611</v>
      </c>
      <c r="C26" s="54" t="s">
        <v>23</v>
      </c>
      <c r="D26" s="55">
        <v>25</v>
      </c>
      <c r="E26" s="56">
        <f>1697.5/D26/117*100</f>
        <v>58.034188034188041</v>
      </c>
      <c r="F26" s="56">
        <f t="shared" ref="F26" si="22">D26*E26</f>
        <v>1450.8547008547009</v>
      </c>
      <c r="G26" s="56">
        <f t="shared" si="5"/>
        <v>246.64529914529916</v>
      </c>
      <c r="H26" s="57">
        <f t="shared" si="6"/>
        <v>67.900000000000006</v>
      </c>
      <c r="I26" s="56">
        <f t="shared" ref="I26" si="23">H26*D26</f>
        <v>1697.5000000000002</v>
      </c>
      <c r="J26" s="58"/>
    </row>
    <row r="27" spans="1:10" s="21" customFormat="1" x14ac:dyDescent="0.25">
      <c r="A27" s="53">
        <v>12</v>
      </c>
      <c r="B27" s="47" t="s">
        <v>612</v>
      </c>
      <c r="C27" s="54" t="s">
        <v>23</v>
      </c>
      <c r="D27" s="55">
        <v>4</v>
      </c>
      <c r="E27" s="56">
        <f>1029.6/D27/117*100</f>
        <v>219.99999999999997</v>
      </c>
      <c r="F27" s="56">
        <f t="shared" ref="F27" si="24">D27*E27</f>
        <v>879.99999999999989</v>
      </c>
      <c r="G27" s="56">
        <f t="shared" si="5"/>
        <v>149.6</v>
      </c>
      <c r="H27" s="57">
        <f t="shared" si="6"/>
        <v>257.39999999999998</v>
      </c>
      <c r="I27" s="56">
        <f t="shared" ref="I27" si="25">H27*D27</f>
        <v>1029.5999999999999</v>
      </c>
      <c r="J27" s="58"/>
    </row>
    <row r="28" spans="1:10" s="21" customFormat="1" x14ac:dyDescent="0.25">
      <c r="A28" s="53">
        <v>13</v>
      </c>
      <c r="B28" s="47" t="s">
        <v>696</v>
      </c>
      <c r="C28" s="54" t="s">
        <v>23</v>
      </c>
      <c r="D28" s="55">
        <v>10</v>
      </c>
      <c r="E28" s="56">
        <f>1872/D28/117*100</f>
        <v>160</v>
      </c>
      <c r="F28" s="56">
        <f t="shared" ref="F28" si="26">D28*E28</f>
        <v>1600</v>
      </c>
      <c r="G28" s="56">
        <f t="shared" si="5"/>
        <v>272</v>
      </c>
      <c r="H28" s="57">
        <f t="shared" si="6"/>
        <v>187.2</v>
      </c>
      <c r="I28" s="56">
        <f t="shared" ref="I28" si="27">H28*D28</f>
        <v>1872</v>
      </c>
      <c r="J28" s="58"/>
    </row>
    <row r="29" spans="1:10" s="21" customFormat="1" x14ac:dyDescent="0.25">
      <c r="A29" s="53">
        <v>14</v>
      </c>
      <c r="B29" s="47" t="s">
        <v>697</v>
      </c>
      <c r="C29" s="54" t="s">
        <v>23</v>
      </c>
      <c r="D29" s="55">
        <v>30</v>
      </c>
      <c r="E29" s="56">
        <f>1404/D29/117*100</f>
        <v>40</v>
      </c>
      <c r="F29" s="56">
        <f t="shared" ref="F29" si="28">D29*E29</f>
        <v>1200</v>
      </c>
      <c r="G29" s="56">
        <f t="shared" si="5"/>
        <v>204.00000000000003</v>
      </c>
      <c r="H29" s="57">
        <f t="shared" si="6"/>
        <v>46.8</v>
      </c>
      <c r="I29" s="56">
        <f t="shared" ref="I29" si="29">H29*D29</f>
        <v>1404</v>
      </c>
      <c r="J29" s="58"/>
    </row>
    <row r="30" spans="1:10" s="21" customFormat="1" ht="30" x14ac:dyDescent="0.25">
      <c r="A30" s="53">
        <v>15</v>
      </c>
      <c r="B30" s="47" t="s">
        <v>698</v>
      </c>
      <c r="C30" s="54" t="s">
        <v>273</v>
      </c>
      <c r="D30" s="55">
        <v>8</v>
      </c>
      <c r="E30" s="56">
        <f>842.4/D30/117*100</f>
        <v>90</v>
      </c>
      <c r="F30" s="56">
        <f t="shared" ref="F30" si="30">D30*E30</f>
        <v>720</v>
      </c>
      <c r="G30" s="56">
        <f t="shared" si="5"/>
        <v>122.4</v>
      </c>
      <c r="H30" s="57">
        <f t="shared" si="6"/>
        <v>105.3</v>
      </c>
      <c r="I30" s="56">
        <f t="shared" ref="I30" si="31">H30*D30</f>
        <v>842.4</v>
      </c>
      <c r="J30" s="58"/>
    </row>
    <row r="31" spans="1:10" s="21" customFormat="1" x14ac:dyDescent="0.25">
      <c r="A31" s="53">
        <v>16</v>
      </c>
      <c r="B31" s="47" t="s">
        <v>699</v>
      </c>
      <c r="C31" s="54" t="s">
        <v>76</v>
      </c>
      <c r="D31" s="55">
        <v>4</v>
      </c>
      <c r="E31" s="56">
        <f>2056/D31/117*100</f>
        <v>439.31623931623938</v>
      </c>
      <c r="F31" s="56">
        <f t="shared" ref="F31" si="32">D31*E31</f>
        <v>1757.2649572649575</v>
      </c>
      <c r="G31" s="56">
        <f t="shared" si="5"/>
        <v>298.73504273504278</v>
      </c>
      <c r="H31" s="57">
        <f t="shared" si="6"/>
        <v>514</v>
      </c>
      <c r="I31" s="56">
        <f t="shared" ref="I31" si="33">H31*D31</f>
        <v>2056</v>
      </c>
      <c r="J31" s="58"/>
    </row>
    <row r="32" spans="1:10" s="21" customFormat="1" x14ac:dyDescent="0.25">
      <c r="A32" s="53">
        <v>17</v>
      </c>
      <c r="B32" s="47" t="s">
        <v>700</v>
      </c>
      <c r="C32" s="54" t="s">
        <v>56</v>
      </c>
      <c r="D32" s="55">
        <v>150</v>
      </c>
      <c r="E32" s="56">
        <f>78975/D32/117*100</f>
        <v>450</v>
      </c>
      <c r="F32" s="56">
        <f t="shared" ref="F32" si="34">D32*E32</f>
        <v>67500</v>
      </c>
      <c r="G32" s="56">
        <f t="shared" si="5"/>
        <v>11475</v>
      </c>
      <c r="H32" s="57">
        <f t="shared" si="6"/>
        <v>526.5</v>
      </c>
      <c r="I32" s="56">
        <f t="shared" ref="I32" si="35">H32*D32</f>
        <v>78975</v>
      </c>
      <c r="J32" s="58"/>
    </row>
    <row r="33" spans="1:10" s="21" customFormat="1" x14ac:dyDescent="0.25">
      <c r="A33" s="53">
        <v>18</v>
      </c>
      <c r="B33" s="47" t="s">
        <v>701</v>
      </c>
      <c r="C33" s="54" t="s">
        <v>23</v>
      </c>
      <c r="D33" s="55">
        <v>10</v>
      </c>
      <c r="E33" s="56">
        <f>234/D33/117*100</f>
        <v>20</v>
      </c>
      <c r="F33" s="56">
        <f t="shared" ref="F33" si="36">D33*E33</f>
        <v>200</v>
      </c>
      <c r="G33" s="56">
        <f t="shared" si="5"/>
        <v>34</v>
      </c>
      <c r="H33" s="57">
        <f t="shared" si="6"/>
        <v>23.4</v>
      </c>
      <c r="I33" s="56">
        <f t="shared" ref="I33" si="37">H33*D33</f>
        <v>234</v>
      </c>
      <c r="J33" s="58"/>
    </row>
    <row r="34" spans="1:10" s="21" customFormat="1" x14ac:dyDescent="0.25">
      <c r="A34" s="53">
        <v>19</v>
      </c>
      <c r="B34" s="47" t="s">
        <v>702</v>
      </c>
      <c r="C34" s="54" t="s">
        <v>23</v>
      </c>
      <c r="D34" s="55">
        <v>24</v>
      </c>
      <c r="E34" s="56">
        <f>897.6/D34/117*100</f>
        <v>31.965811965811962</v>
      </c>
      <c r="F34" s="56">
        <f t="shared" ref="F34" si="38">D34*E34</f>
        <v>767.17948717948707</v>
      </c>
      <c r="G34" s="56">
        <f t="shared" si="5"/>
        <v>130.42051282051281</v>
      </c>
      <c r="H34" s="57">
        <f t="shared" si="6"/>
        <v>37.399999999999991</v>
      </c>
      <c r="I34" s="56">
        <f t="shared" ref="I34" si="39">H34*D34</f>
        <v>897.5999999999998</v>
      </c>
      <c r="J34" s="58"/>
    </row>
    <row r="35" spans="1:10" s="21" customFormat="1" x14ac:dyDescent="0.25">
      <c r="A35" s="53">
        <v>20</v>
      </c>
      <c r="B35" s="47" t="s">
        <v>703</v>
      </c>
      <c r="C35" s="54" t="s">
        <v>76</v>
      </c>
      <c r="D35" s="55">
        <v>1</v>
      </c>
      <c r="E35" s="56">
        <f>210.6/D35/117*100</f>
        <v>180</v>
      </c>
      <c r="F35" s="56">
        <f t="shared" ref="F35" si="40">D35*E35</f>
        <v>180</v>
      </c>
      <c r="G35" s="56">
        <f t="shared" si="5"/>
        <v>30.6</v>
      </c>
      <c r="H35" s="57">
        <f t="shared" si="6"/>
        <v>210.6</v>
      </c>
      <c r="I35" s="56">
        <f t="shared" ref="I35" si="41">H35*D35</f>
        <v>210.6</v>
      </c>
      <c r="J35" s="58"/>
    </row>
    <row r="36" spans="1:10" s="21" customFormat="1" x14ac:dyDescent="0.25">
      <c r="A36" s="53">
        <v>21</v>
      </c>
      <c r="B36" s="47" t="s">
        <v>44</v>
      </c>
      <c r="C36" s="54" t="s">
        <v>23</v>
      </c>
      <c r="D36" s="55">
        <v>5</v>
      </c>
      <c r="E36" s="56">
        <f>1287/D36/117*100</f>
        <v>219.99999999999997</v>
      </c>
      <c r="F36" s="56">
        <f t="shared" ref="F36" si="42">D36*E36</f>
        <v>1099.9999999999998</v>
      </c>
      <c r="G36" s="56">
        <f t="shared" si="5"/>
        <v>186.99999999999997</v>
      </c>
      <c r="H36" s="57">
        <f t="shared" si="6"/>
        <v>257.39999999999998</v>
      </c>
      <c r="I36" s="56">
        <f t="shared" ref="I36" si="43">H36*D36</f>
        <v>1287</v>
      </c>
      <c r="J36" s="58"/>
    </row>
    <row r="37" spans="1:10" s="21" customFormat="1" x14ac:dyDescent="0.25">
      <c r="A37" s="53">
        <v>22</v>
      </c>
      <c r="B37" s="47" t="s">
        <v>704</v>
      </c>
      <c r="C37" s="54" t="s">
        <v>23</v>
      </c>
      <c r="D37" s="55">
        <v>12</v>
      </c>
      <c r="E37" s="56">
        <f>702/D37/117*100</f>
        <v>50</v>
      </c>
      <c r="F37" s="56">
        <f t="shared" ref="F37" si="44">D37*E37</f>
        <v>600</v>
      </c>
      <c r="G37" s="56">
        <f t="shared" si="5"/>
        <v>102.00000000000001</v>
      </c>
      <c r="H37" s="57">
        <f t="shared" si="6"/>
        <v>58.5</v>
      </c>
      <c r="I37" s="56">
        <f t="shared" ref="I37" si="45">H37*D37</f>
        <v>702</v>
      </c>
      <c r="J37" s="58"/>
    </row>
    <row r="38" spans="1:10" ht="15.75" thickBot="1" x14ac:dyDescent="0.3">
      <c r="A38" s="33"/>
      <c r="B38" s="34" t="s">
        <v>24</v>
      </c>
      <c r="C38" s="35"/>
      <c r="D38" s="62">
        <f>SUM(D16:D37)</f>
        <v>567</v>
      </c>
      <c r="E38" s="35"/>
      <c r="F38" s="62">
        <f>SUM(F16:F37)</f>
        <v>113650.44444444445</v>
      </c>
      <c r="G38" s="62">
        <f>SUM(G16:G37)</f>
        <v>18962.555555555555</v>
      </c>
      <c r="H38" s="35"/>
      <c r="I38" s="62">
        <f>SUM(I16:I37)</f>
        <v>132613</v>
      </c>
      <c r="J38" s="37"/>
    </row>
    <row r="39" spans="1:10" ht="15.75" thickTop="1" x14ac:dyDescent="0.25">
      <c r="A39" s="33"/>
      <c r="B39" s="34" t="s">
        <v>706</v>
      </c>
      <c r="C39" s="35"/>
      <c r="D39" s="35"/>
      <c r="E39" s="35"/>
      <c r="F39" s="35"/>
      <c r="G39" s="35"/>
      <c r="H39" s="35"/>
      <c r="I39" s="35"/>
      <c r="J39" s="37"/>
    </row>
    <row r="40" spans="1:10" x14ac:dyDescent="0.25">
      <c r="A40" s="33"/>
      <c r="B40" s="38" t="s">
        <v>25</v>
      </c>
      <c r="C40" s="35"/>
      <c r="D40" s="35"/>
      <c r="E40" s="35"/>
      <c r="F40" s="35"/>
      <c r="G40" s="35"/>
      <c r="H40" s="35"/>
      <c r="I40" s="35"/>
      <c r="J40" s="37"/>
    </row>
    <row r="41" spans="1:10" ht="30" customHeight="1" x14ac:dyDescent="0.25">
      <c r="B41" s="183" t="s">
        <v>26</v>
      </c>
      <c r="C41" s="183"/>
      <c r="D41" s="183"/>
      <c r="E41" s="183"/>
      <c r="F41" s="183"/>
      <c r="G41" s="183"/>
      <c r="H41" s="183"/>
      <c r="I41" s="183"/>
      <c r="J41" s="183"/>
    </row>
    <row r="42" spans="1:10" x14ac:dyDescent="0.25">
      <c r="B42" t="s">
        <v>27</v>
      </c>
    </row>
    <row r="45" spans="1:10" x14ac:dyDescent="0.25">
      <c r="B45" t="s">
        <v>28</v>
      </c>
      <c r="H45" t="s">
        <v>28</v>
      </c>
    </row>
    <row r="46" spans="1:10" x14ac:dyDescent="0.25">
      <c r="B46" t="s">
        <v>29</v>
      </c>
      <c r="H46" t="s">
        <v>30</v>
      </c>
    </row>
  </sheetData>
  <autoFilter ref="A15:J42" xr:uid="{00000000-0009-0000-0000-000015000000}"/>
  <mergeCells count="5">
    <mergeCell ref="A6:J6"/>
    <mergeCell ref="I7:J7"/>
    <mergeCell ref="I8:J8"/>
    <mergeCell ref="I9:J9"/>
    <mergeCell ref="B41:J41"/>
  </mergeCells>
  <hyperlinks>
    <hyperlink ref="H5" r:id="rId1" xr:uid="{00000000-0004-0000-1500-000000000000}"/>
  </hyperlinks>
  <pageMargins left="0.2" right="0.1" top="0.25" bottom="0.25" header="0.3" footer="0.3"/>
  <pageSetup paperSize="9" orientation="portrait" r:id="rId2"/>
  <drawing r:id="rId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25"/>
  <sheetViews>
    <sheetView workbookViewId="0">
      <selection activeCell="B4" sqref="B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683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684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108</v>
      </c>
      <c r="C16" s="24" t="s">
        <v>165</v>
      </c>
      <c r="D16" s="25">
        <v>4</v>
      </c>
      <c r="E16" s="26">
        <v>2275</v>
      </c>
      <c r="F16" s="27">
        <f>D16*E16</f>
        <v>9100</v>
      </c>
      <c r="G16" s="27">
        <f>F16*0.17</f>
        <v>1547</v>
      </c>
      <c r="H16" s="39">
        <f>E16*1.17</f>
        <v>2661.75</v>
      </c>
      <c r="I16" s="27">
        <f>H16*D16</f>
        <v>10647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4</v>
      </c>
      <c r="E18" s="35"/>
      <c r="F18" s="36">
        <f>SUM(F16:F16)</f>
        <v>9100</v>
      </c>
      <c r="G18" s="36">
        <f>SUM(G16:G16)</f>
        <v>1547</v>
      </c>
      <c r="H18" s="35"/>
      <c r="I18" s="36">
        <f>SUM(I16:I16)</f>
        <v>10647</v>
      </c>
      <c r="J18" s="37"/>
    </row>
    <row r="19" spans="1:10" ht="15.75" thickTop="1" x14ac:dyDescent="0.25">
      <c r="A19" s="33"/>
      <c r="B19" s="34" t="s">
        <v>685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1600-000000000000}"/>
  </hyperlinks>
  <pageMargins left="0.2" right="0.1" top="0.25" bottom="0.25" header="0.3" footer="0.3"/>
  <pageSetup paperSize="9" orientation="portrait" r:id="rId2"/>
  <drawing r:id="rId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30"/>
  <sheetViews>
    <sheetView workbookViewId="0">
      <selection activeCell="A20" sqref="A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661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675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602</v>
      </c>
      <c r="J9" s="188"/>
    </row>
    <row r="10" spans="1:10" x14ac:dyDescent="0.25">
      <c r="B10" t="s">
        <v>9</v>
      </c>
      <c r="C10" s="10" t="s">
        <v>601</v>
      </c>
      <c r="D10" s="10"/>
      <c r="E10" s="10"/>
      <c r="F10" s="10"/>
    </row>
    <row r="11" spans="1:10" x14ac:dyDescent="0.25">
      <c r="B11" t="s">
        <v>11</v>
      </c>
      <c r="C11" s="10"/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/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45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">
      <c r="A16" s="22">
        <v>1</v>
      </c>
      <c r="B16" s="52" t="s">
        <v>676</v>
      </c>
      <c r="C16" s="24" t="s">
        <v>23</v>
      </c>
      <c r="D16" s="49">
        <v>24</v>
      </c>
      <c r="E16" s="27">
        <v>32</v>
      </c>
      <c r="F16" s="27">
        <f t="shared" ref="F16" si="0">D16*E16</f>
        <v>768</v>
      </c>
      <c r="G16" s="27">
        <f>F16*0.17</f>
        <v>130.56</v>
      </c>
      <c r="H16" s="39">
        <f>E16*1.17</f>
        <v>37.44</v>
      </c>
      <c r="I16" s="27">
        <f t="shared" ref="I16" si="1">H16*D16</f>
        <v>898.56</v>
      </c>
      <c r="J16" s="28"/>
    </row>
    <row r="17" spans="1:10" s="21" customFormat="1" x14ac:dyDescent="0.25">
      <c r="A17" s="29">
        <v>2</v>
      </c>
      <c r="B17" s="51" t="s">
        <v>677</v>
      </c>
      <c r="C17" s="31" t="s">
        <v>23</v>
      </c>
      <c r="D17" s="25">
        <v>100</v>
      </c>
      <c r="E17" s="26">
        <v>150</v>
      </c>
      <c r="F17" s="27">
        <f t="shared" ref="F17:F22" si="2">D17*E17</f>
        <v>15000</v>
      </c>
      <c r="G17" s="27">
        <f t="shared" ref="G17:G22" si="3">F17*0.17</f>
        <v>2550</v>
      </c>
      <c r="H17" s="39">
        <f t="shared" ref="H17:H22" si="4">E17*1.17</f>
        <v>175.5</v>
      </c>
      <c r="I17" s="27">
        <f t="shared" ref="I17:I22" si="5">H17*D17</f>
        <v>17550</v>
      </c>
      <c r="J17" s="28"/>
    </row>
    <row r="18" spans="1:10" s="21" customFormat="1" x14ac:dyDescent="0.25">
      <c r="A18" s="29">
        <v>3</v>
      </c>
      <c r="B18" s="51" t="s">
        <v>678</v>
      </c>
      <c r="C18" s="31" t="s">
        <v>23</v>
      </c>
      <c r="D18" s="25">
        <v>24</v>
      </c>
      <c r="E18" s="26">
        <v>28</v>
      </c>
      <c r="F18" s="27">
        <f t="shared" ref="F18:F19" si="6">D18*E18</f>
        <v>672</v>
      </c>
      <c r="G18" s="27">
        <f t="shared" ref="G18:G19" si="7">F18*0.17</f>
        <v>114.24000000000001</v>
      </c>
      <c r="H18" s="39">
        <f t="shared" ref="H18:H19" si="8">E18*1.17</f>
        <v>32.76</v>
      </c>
      <c r="I18" s="27">
        <f t="shared" ref="I18:I19" si="9">H18*D18</f>
        <v>786.24</v>
      </c>
      <c r="J18" s="28"/>
    </row>
    <row r="19" spans="1:10" s="21" customFormat="1" x14ac:dyDescent="0.25">
      <c r="A19" s="29">
        <v>4</v>
      </c>
      <c r="B19" s="51" t="s">
        <v>679</v>
      </c>
      <c r="C19" s="31" t="s">
        <v>23</v>
      </c>
      <c r="D19" s="25">
        <v>15</v>
      </c>
      <c r="E19" s="26">
        <v>162</v>
      </c>
      <c r="F19" s="27">
        <f t="shared" si="6"/>
        <v>2430</v>
      </c>
      <c r="G19" s="27">
        <f t="shared" si="7"/>
        <v>413.1</v>
      </c>
      <c r="H19" s="39">
        <f t="shared" si="8"/>
        <v>189.54</v>
      </c>
      <c r="I19" s="27">
        <f t="shared" si="9"/>
        <v>2843.1</v>
      </c>
      <c r="J19" s="28"/>
    </row>
    <row r="20" spans="1:10" s="21" customFormat="1" x14ac:dyDescent="0.25">
      <c r="A20" s="29">
        <v>3</v>
      </c>
      <c r="B20" s="46" t="s">
        <v>680</v>
      </c>
      <c r="C20" s="31" t="s">
        <v>166</v>
      </c>
      <c r="D20" s="25">
        <v>10</v>
      </c>
      <c r="E20" s="26">
        <v>24</v>
      </c>
      <c r="F20" s="27">
        <f t="shared" si="2"/>
        <v>240</v>
      </c>
      <c r="G20" s="27">
        <f t="shared" si="3"/>
        <v>40.800000000000004</v>
      </c>
      <c r="H20" s="39">
        <f t="shared" si="4"/>
        <v>28.08</v>
      </c>
      <c r="I20" s="27">
        <f t="shared" si="5"/>
        <v>280.79999999999995</v>
      </c>
      <c r="J20" s="28"/>
    </row>
    <row r="21" spans="1:10" s="21" customFormat="1" x14ac:dyDescent="0.25">
      <c r="A21" s="29">
        <v>4</v>
      </c>
      <c r="B21" s="46" t="s">
        <v>681</v>
      </c>
      <c r="C21" s="31" t="s">
        <v>76</v>
      </c>
      <c r="D21" s="25">
        <v>5</v>
      </c>
      <c r="E21" s="26">
        <v>90</v>
      </c>
      <c r="F21" s="27">
        <f t="shared" si="2"/>
        <v>450</v>
      </c>
      <c r="G21" s="27">
        <f t="shared" si="3"/>
        <v>76.5</v>
      </c>
      <c r="H21" s="39">
        <f t="shared" si="4"/>
        <v>105.3</v>
      </c>
      <c r="I21" s="27">
        <f t="shared" si="5"/>
        <v>526.5</v>
      </c>
      <c r="J21" s="28"/>
    </row>
    <row r="22" spans="1:10" s="21" customFormat="1" x14ac:dyDescent="0.25">
      <c r="A22" s="29"/>
      <c r="B22" s="46"/>
      <c r="C22" s="31"/>
      <c r="D22" s="25"/>
      <c r="E22" s="26"/>
      <c r="F22" s="27">
        <f t="shared" si="2"/>
        <v>0</v>
      </c>
      <c r="G22" s="27">
        <f t="shared" si="3"/>
        <v>0</v>
      </c>
      <c r="H22" s="39">
        <f t="shared" si="4"/>
        <v>0</v>
      </c>
      <c r="I22" s="27">
        <f t="shared" si="5"/>
        <v>0</v>
      </c>
      <c r="J22" s="28"/>
    </row>
    <row r="23" spans="1:10" ht="15.75" thickBot="1" x14ac:dyDescent="0.3">
      <c r="A23" s="33"/>
      <c r="B23" s="34" t="s">
        <v>24</v>
      </c>
      <c r="C23" s="35"/>
      <c r="D23" s="36">
        <f>SUM(D16:D21)</f>
        <v>178</v>
      </c>
      <c r="E23" s="35"/>
      <c r="F23" s="36">
        <f>SUM(F16:F21)</f>
        <v>19560</v>
      </c>
      <c r="G23" s="36">
        <f>SUM(G16:G21)</f>
        <v>3325.2000000000003</v>
      </c>
      <c r="H23" s="35"/>
      <c r="I23" s="36">
        <f>SUM(I16:I21)</f>
        <v>22885.200000000001</v>
      </c>
      <c r="J23" s="37"/>
    </row>
    <row r="24" spans="1:10" ht="15.75" thickTop="1" x14ac:dyDescent="0.25">
      <c r="A24" s="33"/>
      <c r="B24" s="34" t="s">
        <v>682</v>
      </c>
      <c r="C24" s="35"/>
      <c r="D24" s="35"/>
      <c r="E24" s="35"/>
      <c r="F24" s="35"/>
      <c r="G24" s="35"/>
      <c r="H24" s="35"/>
      <c r="I24" s="35"/>
      <c r="J24" s="37"/>
    </row>
    <row r="25" spans="1:10" x14ac:dyDescent="0.25">
      <c r="A25" s="33"/>
      <c r="B25" s="38" t="s">
        <v>25</v>
      </c>
      <c r="C25" s="35"/>
      <c r="D25" s="35"/>
      <c r="E25" s="35"/>
      <c r="F25" s="35"/>
      <c r="G25" s="35"/>
      <c r="H25" s="35"/>
      <c r="I25" s="35"/>
      <c r="J25" s="37"/>
    </row>
    <row r="26" spans="1:10" ht="30" customHeight="1" x14ac:dyDescent="0.25">
      <c r="B26" s="183" t="s">
        <v>26</v>
      </c>
      <c r="C26" s="183"/>
      <c r="D26" s="183"/>
      <c r="E26" s="183"/>
      <c r="F26" s="183"/>
      <c r="G26" s="183"/>
      <c r="H26" s="183"/>
      <c r="I26" s="183"/>
      <c r="J26" s="183"/>
    </row>
    <row r="27" spans="1:10" x14ac:dyDescent="0.25">
      <c r="B27" t="s">
        <v>27</v>
      </c>
    </row>
    <row r="29" spans="1:10" x14ac:dyDescent="0.25">
      <c r="B29" t="s">
        <v>28</v>
      </c>
      <c r="H29" t="s">
        <v>28</v>
      </c>
    </row>
    <row r="30" spans="1:10" x14ac:dyDescent="0.25">
      <c r="B30" t="s">
        <v>29</v>
      </c>
      <c r="H30" t="s">
        <v>30</v>
      </c>
    </row>
  </sheetData>
  <mergeCells count="5">
    <mergeCell ref="A6:J6"/>
    <mergeCell ref="I7:J7"/>
    <mergeCell ref="I8:J8"/>
    <mergeCell ref="I9:J9"/>
    <mergeCell ref="B26:J26"/>
  </mergeCells>
  <hyperlinks>
    <hyperlink ref="H5" r:id="rId1" xr:uid="{00000000-0004-0000-1700-000000000000}"/>
  </hyperlinks>
  <pageMargins left="0.2" right="0.1" top="0.25" bottom="0.25" header="0.3" footer="0.3"/>
  <pageSetup paperSize="9" orientation="portrait" r:id="rId2"/>
  <drawing r:id="rId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36"/>
  <sheetViews>
    <sheetView workbookViewId="0">
      <selection activeCell="C10" sqref="C10:C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491</v>
      </c>
    </row>
    <row r="3" spans="1:10" x14ac:dyDescent="0.25">
      <c r="D3" s="2"/>
      <c r="E3" s="2"/>
      <c r="F3" s="2"/>
      <c r="H3" s="2" t="s">
        <v>492</v>
      </c>
    </row>
    <row r="4" spans="1:10" x14ac:dyDescent="0.25">
      <c r="D4" s="2"/>
      <c r="E4" s="2"/>
      <c r="F4" s="2"/>
      <c r="H4" s="2" t="s">
        <v>493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661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660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662</v>
      </c>
      <c r="J9" s="186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663</v>
      </c>
      <c r="C16" s="43" t="s">
        <v>23</v>
      </c>
      <c r="D16" s="43">
        <v>500</v>
      </c>
      <c r="E16" s="26">
        <v>145</v>
      </c>
      <c r="F16" s="27">
        <f>D16*E16</f>
        <v>72500</v>
      </c>
      <c r="G16" s="27">
        <f t="shared" ref="G16:G22" si="0">F16*0.17</f>
        <v>12325</v>
      </c>
      <c r="H16" s="39">
        <f t="shared" ref="H16:H22" si="1">E16*1.17</f>
        <v>169.64999999999998</v>
      </c>
      <c r="I16" s="27">
        <f>H16*D16</f>
        <v>84824.999999999985</v>
      </c>
      <c r="J16" s="28"/>
    </row>
    <row r="17" spans="1:10" s="21" customFormat="1" x14ac:dyDescent="0.25">
      <c r="A17" s="22">
        <v>2</v>
      </c>
      <c r="B17" s="23" t="s">
        <v>664</v>
      </c>
      <c r="C17" s="43" t="s">
        <v>23</v>
      </c>
      <c r="D17" s="43">
        <v>100</v>
      </c>
      <c r="E17" s="26">
        <v>28</v>
      </c>
      <c r="F17" s="27">
        <f t="shared" ref="F17:F19" si="2">D17*E17</f>
        <v>2800</v>
      </c>
      <c r="G17" s="27">
        <f t="shared" si="0"/>
        <v>476.00000000000006</v>
      </c>
      <c r="H17" s="39">
        <f t="shared" si="1"/>
        <v>32.76</v>
      </c>
      <c r="I17" s="27">
        <f t="shared" ref="I17:I24" si="3">H17*D17</f>
        <v>3276</v>
      </c>
      <c r="J17" s="28"/>
    </row>
    <row r="18" spans="1:10" s="21" customFormat="1" x14ac:dyDescent="0.25">
      <c r="A18" s="22">
        <v>3</v>
      </c>
      <c r="B18" s="23" t="s">
        <v>665</v>
      </c>
      <c r="C18" s="43" t="s">
        <v>23</v>
      </c>
      <c r="D18" s="43">
        <v>100</v>
      </c>
      <c r="E18" s="26">
        <v>34</v>
      </c>
      <c r="F18" s="27">
        <f t="shared" si="2"/>
        <v>3400</v>
      </c>
      <c r="G18" s="27">
        <f t="shared" si="0"/>
        <v>578</v>
      </c>
      <c r="H18" s="39">
        <f t="shared" si="1"/>
        <v>39.78</v>
      </c>
      <c r="I18" s="27">
        <f t="shared" si="3"/>
        <v>3978</v>
      </c>
      <c r="J18" s="28"/>
    </row>
    <row r="19" spans="1:10" s="21" customFormat="1" x14ac:dyDescent="0.25">
      <c r="A19" s="22">
        <v>4</v>
      </c>
      <c r="B19" s="23" t="s">
        <v>666</v>
      </c>
      <c r="C19" s="43" t="s">
        <v>23</v>
      </c>
      <c r="D19" s="43">
        <v>100</v>
      </c>
      <c r="E19" s="26">
        <v>40</v>
      </c>
      <c r="F19" s="27">
        <f t="shared" si="2"/>
        <v>4000</v>
      </c>
      <c r="G19" s="27">
        <f t="shared" si="0"/>
        <v>680</v>
      </c>
      <c r="H19" s="39">
        <f t="shared" si="1"/>
        <v>46.8</v>
      </c>
      <c r="I19" s="27">
        <f t="shared" si="3"/>
        <v>4680</v>
      </c>
      <c r="J19" s="28"/>
    </row>
    <row r="20" spans="1:10" s="21" customFormat="1" x14ac:dyDescent="0.25">
      <c r="A20" s="22">
        <v>5</v>
      </c>
      <c r="B20" s="23" t="s">
        <v>667</v>
      </c>
      <c r="C20" s="43" t="s">
        <v>23</v>
      </c>
      <c r="D20" s="43">
        <v>100</v>
      </c>
      <c r="E20" s="26">
        <v>56</v>
      </c>
      <c r="F20" s="27">
        <f t="shared" ref="F20:F27" si="4">D20*E20</f>
        <v>5600</v>
      </c>
      <c r="G20" s="27">
        <f t="shared" si="0"/>
        <v>952.00000000000011</v>
      </c>
      <c r="H20" s="39">
        <f t="shared" si="1"/>
        <v>65.52</v>
      </c>
      <c r="I20" s="27">
        <f t="shared" si="3"/>
        <v>6552</v>
      </c>
      <c r="J20" s="28"/>
    </row>
    <row r="21" spans="1:10" s="21" customFormat="1" ht="25.5" x14ac:dyDescent="0.25">
      <c r="A21" s="22">
        <v>6</v>
      </c>
      <c r="B21" s="23" t="s">
        <v>668</v>
      </c>
      <c r="C21" s="43" t="s">
        <v>23</v>
      </c>
      <c r="D21" s="43">
        <v>100</v>
      </c>
      <c r="E21" s="26">
        <v>85</v>
      </c>
      <c r="F21" s="27">
        <f t="shared" si="4"/>
        <v>8500</v>
      </c>
      <c r="G21" s="27">
        <f t="shared" si="0"/>
        <v>1445</v>
      </c>
      <c r="H21" s="39">
        <f t="shared" si="1"/>
        <v>99.449999999999989</v>
      </c>
      <c r="I21" s="27">
        <f t="shared" si="3"/>
        <v>9944.9999999999982</v>
      </c>
      <c r="J21" s="28"/>
    </row>
    <row r="22" spans="1:10" s="21" customFormat="1" ht="25.5" x14ac:dyDescent="0.25">
      <c r="A22" s="22">
        <v>7</v>
      </c>
      <c r="B22" s="23" t="s">
        <v>669</v>
      </c>
      <c r="C22" s="43" t="s">
        <v>23</v>
      </c>
      <c r="D22" s="43">
        <v>200</v>
      </c>
      <c r="E22" s="26">
        <v>45</v>
      </c>
      <c r="F22" s="27">
        <f t="shared" si="4"/>
        <v>9000</v>
      </c>
      <c r="G22" s="27">
        <f t="shared" si="0"/>
        <v>1530</v>
      </c>
      <c r="H22" s="39">
        <f t="shared" si="1"/>
        <v>52.65</v>
      </c>
      <c r="I22" s="27">
        <f t="shared" si="3"/>
        <v>10530</v>
      </c>
      <c r="J22" s="28"/>
    </row>
    <row r="23" spans="1:10" s="21" customFormat="1" x14ac:dyDescent="0.25">
      <c r="A23" s="22">
        <v>8</v>
      </c>
      <c r="B23" s="23" t="s">
        <v>670</v>
      </c>
      <c r="C23" s="43" t="s">
        <v>23</v>
      </c>
      <c r="D23" s="43">
        <v>2000</v>
      </c>
      <c r="E23" s="26">
        <v>9</v>
      </c>
      <c r="F23" s="27">
        <f t="shared" si="4"/>
        <v>18000</v>
      </c>
      <c r="G23" s="27">
        <f>F23*0</f>
        <v>0</v>
      </c>
      <c r="H23" s="39">
        <f>E23*1</f>
        <v>9</v>
      </c>
      <c r="I23" s="27">
        <f t="shared" si="3"/>
        <v>18000</v>
      </c>
      <c r="J23" s="28"/>
    </row>
    <row r="24" spans="1:10" s="21" customFormat="1" ht="25.5" x14ac:dyDescent="0.25">
      <c r="A24" s="22">
        <v>9</v>
      </c>
      <c r="B24" s="23" t="s">
        <v>671</v>
      </c>
      <c r="C24" s="43" t="s">
        <v>23</v>
      </c>
      <c r="D24" s="43">
        <v>1000</v>
      </c>
      <c r="E24" s="26">
        <v>22</v>
      </c>
      <c r="F24" s="27">
        <f t="shared" si="4"/>
        <v>22000</v>
      </c>
      <c r="G24" s="27">
        <f>F24*0.17</f>
        <v>3740.0000000000005</v>
      </c>
      <c r="H24" s="39">
        <f>E24*1.17</f>
        <v>25.74</v>
      </c>
      <c r="I24" s="27">
        <f t="shared" si="3"/>
        <v>25740</v>
      </c>
      <c r="J24" s="28"/>
    </row>
    <row r="25" spans="1:10" s="21" customFormat="1" ht="25.5" x14ac:dyDescent="0.25">
      <c r="A25" s="22">
        <v>10</v>
      </c>
      <c r="B25" s="23" t="s">
        <v>672</v>
      </c>
      <c r="C25" s="43" t="s">
        <v>23</v>
      </c>
      <c r="D25" s="43">
        <v>100</v>
      </c>
      <c r="E25" s="26">
        <v>120</v>
      </c>
      <c r="F25" s="27">
        <f t="shared" si="4"/>
        <v>12000</v>
      </c>
      <c r="G25" s="27">
        <f>F25*0.17</f>
        <v>2040.0000000000002</v>
      </c>
      <c r="H25" s="39">
        <f>E25*1.17</f>
        <v>140.39999999999998</v>
      </c>
      <c r="I25" s="27">
        <f t="shared" ref="I25:I26" si="5">H25*D25</f>
        <v>14039.999999999998</v>
      </c>
      <c r="J25" s="28"/>
    </row>
    <row r="26" spans="1:10" s="21" customFormat="1" ht="25.5" x14ac:dyDescent="0.25">
      <c r="A26" s="22">
        <v>11</v>
      </c>
      <c r="B26" s="23" t="s">
        <v>414</v>
      </c>
      <c r="C26" s="43" t="s">
        <v>23</v>
      </c>
      <c r="D26" s="43">
        <v>200</v>
      </c>
      <c r="E26" s="26">
        <v>22</v>
      </c>
      <c r="F26" s="27">
        <f t="shared" si="4"/>
        <v>4400</v>
      </c>
      <c r="G26" s="27">
        <f>F26*0.17</f>
        <v>748</v>
      </c>
      <c r="H26" s="39">
        <f>E26*1.17</f>
        <v>25.74</v>
      </c>
      <c r="I26" s="27">
        <f t="shared" si="5"/>
        <v>5148</v>
      </c>
      <c r="J26" s="28"/>
    </row>
    <row r="27" spans="1:10" s="21" customFormat="1" ht="38.25" x14ac:dyDescent="0.25">
      <c r="A27" s="22">
        <v>12</v>
      </c>
      <c r="B27" s="23" t="s">
        <v>673</v>
      </c>
      <c r="C27" s="43" t="s">
        <v>23</v>
      </c>
      <c r="D27" s="43">
        <v>200</v>
      </c>
      <c r="E27" s="26">
        <v>50</v>
      </c>
      <c r="F27" s="27">
        <f t="shared" si="4"/>
        <v>10000</v>
      </c>
      <c r="G27" s="27">
        <f>F27*0.17</f>
        <v>1700.0000000000002</v>
      </c>
      <c r="H27" s="39">
        <f>E27*1.17</f>
        <v>58.5</v>
      </c>
      <c r="I27" s="27">
        <f t="shared" ref="I27" si="6">H27*D27</f>
        <v>11700</v>
      </c>
      <c r="J27" s="28"/>
    </row>
    <row r="28" spans="1:10" s="21" customFormat="1" x14ac:dyDescent="0.25">
      <c r="A28" s="29"/>
      <c r="B28" s="30"/>
      <c r="C28" s="31"/>
      <c r="D28" s="25"/>
      <c r="E28" s="26"/>
      <c r="F28" s="32"/>
      <c r="G28" s="32"/>
      <c r="H28" s="26"/>
      <c r="I28" s="32"/>
      <c r="J28" s="28"/>
    </row>
    <row r="29" spans="1:10" ht="15.75" thickBot="1" x14ac:dyDescent="0.3">
      <c r="A29" s="33"/>
      <c r="B29" s="34" t="s">
        <v>24</v>
      </c>
      <c r="C29" s="35"/>
      <c r="D29" s="36">
        <f>SUM(D16:D27)</f>
        <v>4700</v>
      </c>
      <c r="E29" s="35"/>
      <c r="F29" s="36">
        <f>SUM(F16:F27)</f>
        <v>172200</v>
      </c>
      <c r="G29" s="36">
        <f>SUM(G16:G27)</f>
        <v>26214</v>
      </c>
      <c r="H29" s="35"/>
      <c r="I29" s="36">
        <f>SUM(I16:I27)</f>
        <v>198414</v>
      </c>
      <c r="J29" s="37"/>
    </row>
    <row r="30" spans="1:10" ht="15.75" thickTop="1" x14ac:dyDescent="0.25">
      <c r="A30" s="33"/>
      <c r="B30" s="34" t="s">
        <v>674</v>
      </c>
      <c r="C30" s="35"/>
      <c r="D30" s="35"/>
      <c r="E30" s="35"/>
      <c r="F30" s="35"/>
      <c r="G30" s="35"/>
      <c r="H30" s="35"/>
      <c r="I30" s="35"/>
      <c r="J30" s="37"/>
    </row>
    <row r="31" spans="1:10" x14ac:dyDescent="0.25">
      <c r="A31" s="33"/>
      <c r="B31" s="38" t="s">
        <v>25</v>
      </c>
      <c r="C31" s="35"/>
      <c r="D31" s="35"/>
      <c r="E31" s="35"/>
      <c r="F31" s="35"/>
      <c r="G31" s="35"/>
      <c r="H31" s="35"/>
      <c r="I31" s="35"/>
      <c r="J31" s="37"/>
    </row>
    <row r="32" spans="1:10" ht="30" customHeight="1" x14ac:dyDescent="0.25">
      <c r="B32" s="183" t="s">
        <v>26</v>
      </c>
      <c r="C32" s="183"/>
      <c r="D32" s="183"/>
      <c r="E32" s="183"/>
      <c r="F32" s="183"/>
      <c r="G32" s="183"/>
      <c r="H32" s="183"/>
      <c r="I32" s="183"/>
      <c r="J32" s="183"/>
    </row>
    <row r="33" spans="2:8" x14ac:dyDescent="0.25">
      <c r="B33" t="s">
        <v>27</v>
      </c>
    </row>
    <row r="35" spans="2:8" x14ac:dyDescent="0.25">
      <c r="B35" t="s">
        <v>28</v>
      </c>
      <c r="H35" t="s">
        <v>28</v>
      </c>
    </row>
    <row r="36" spans="2:8" x14ac:dyDescent="0.25">
      <c r="B36" t="s">
        <v>29</v>
      </c>
      <c r="H36" t="s">
        <v>30</v>
      </c>
    </row>
  </sheetData>
  <mergeCells count="5">
    <mergeCell ref="A6:J6"/>
    <mergeCell ref="I7:J7"/>
    <mergeCell ref="I8:J8"/>
    <mergeCell ref="I9:J9"/>
    <mergeCell ref="B32:J32"/>
  </mergeCells>
  <hyperlinks>
    <hyperlink ref="H5" r:id="rId1" xr:uid="{00000000-0004-0000-1800-000000000000}"/>
  </hyperlinks>
  <pageMargins left="0.2" right="0.1" top="0.25" bottom="0.25" header="0.3" footer="0.3"/>
  <pageSetup paperSize="9" orientation="portrait" r:id="rId2"/>
  <drawing r:id="rId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26"/>
  <sheetViews>
    <sheetView topLeftCell="A6" workbookViewId="0">
      <selection activeCell="D16" sqref="D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657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658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602</v>
      </c>
      <c r="J9" s="188"/>
    </row>
    <row r="10" spans="1:10" x14ac:dyDescent="0.25">
      <c r="B10" t="s">
        <v>9</v>
      </c>
      <c r="C10" s="10" t="s">
        <v>601</v>
      </c>
      <c r="D10" s="10"/>
      <c r="E10" s="10"/>
      <c r="F10" s="10"/>
    </row>
    <row r="11" spans="1:10" x14ac:dyDescent="0.25">
      <c r="B11" t="s">
        <v>11</v>
      </c>
      <c r="C11" s="10"/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/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45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44" t="s">
        <v>604</v>
      </c>
      <c r="C16" s="24" t="s">
        <v>23</v>
      </c>
      <c r="D16" s="49">
        <v>35</v>
      </c>
      <c r="E16" s="27">
        <v>140</v>
      </c>
      <c r="F16" s="27">
        <f t="shared" ref="F16:F17" si="0">D16*E16</f>
        <v>4900</v>
      </c>
      <c r="G16" s="27">
        <f t="shared" ref="G16:G17" si="1">F16*0.17</f>
        <v>833.00000000000011</v>
      </c>
      <c r="H16" s="39">
        <f t="shared" ref="H16:H17" si="2">E16*1.17</f>
        <v>163.79999999999998</v>
      </c>
      <c r="I16" s="27">
        <f t="shared" ref="I16:I17" si="3">H16*D16</f>
        <v>5732.9999999999991</v>
      </c>
      <c r="J16" s="28"/>
    </row>
    <row r="17" spans="1:10" s="21" customFormat="1" x14ac:dyDescent="0.25">
      <c r="A17" s="22">
        <v>2</v>
      </c>
      <c r="B17" s="44" t="s">
        <v>656</v>
      </c>
      <c r="C17" s="24" t="s">
        <v>23</v>
      </c>
      <c r="D17" s="49">
        <v>36</v>
      </c>
      <c r="E17" s="27">
        <v>20</v>
      </c>
      <c r="F17" s="27">
        <f t="shared" si="0"/>
        <v>720</v>
      </c>
      <c r="G17" s="27">
        <f t="shared" si="1"/>
        <v>122.4</v>
      </c>
      <c r="H17" s="39">
        <f t="shared" si="2"/>
        <v>23.4</v>
      </c>
      <c r="I17" s="27">
        <f t="shared" si="3"/>
        <v>842.4</v>
      </c>
      <c r="J17" s="28"/>
    </row>
    <row r="18" spans="1:10" s="21" customFormat="1" x14ac:dyDescent="0.25">
      <c r="A18" s="29"/>
      <c r="B18" s="46"/>
      <c r="C18" s="31"/>
      <c r="D18" s="25"/>
      <c r="E18" s="26"/>
      <c r="F18" s="32"/>
      <c r="G18" s="32"/>
      <c r="H18" s="26"/>
      <c r="I18" s="32"/>
      <c r="J18" s="28"/>
    </row>
    <row r="19" spans="1:10" ht="15.75" thickBot="1" x14ac:dyDescent="0.3">
      <c r="A19" s="33"/>
      <c r="B19" s="34" t="s">
        <v>24</v>
      </c>
      <c r="C19" s="35"/>
      <c r="D19" s="36">
        <f>SUM(D16:D17)</f>
        <v>71</v>
      </c>
      <c r="E19" s="35"/>
      <c r="F19" s="36">
        <f>SUM(F16:F17)</f>
        <v>5620</v>
      </c>
      <c r="G19" s="36">
        <f>SUM(G16:G17)</f>
        <v>955.40000000000009</v>
      </c>
      <c r="H19" s="35"/>
      <c r="I19" s="36">
        <f>SUM(I16:I17)</f>
        <v>6575.3999999999987</v>
      </c>
      <c r="J19" s="37"/>
    </row>
    <row r="20" spans="1:10" ht="15.75" thickTop="1" x14ac:dyDescent="0.25">
      <c r="A20" s="33"/>
      <c r="B20" s="34" t="s">
        <v>659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27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mergeCells count="5">
    <mergeCell ref="A6:J6"/>
    <mergeCell ref="I7:J7"/>
    <mergeCell ref="I8:J8"/>
    <mergeCell ref="I9:J9"/>
    <mergeCell ref="B22:J22"/>
  </mergeCells>
  <hyperlinks>
    <hyperlink ref="H5" r:id="rId1" xr:uid="{00000000-0004-0000-1900-000000000000}"/>
  </hyperlinks>
  <pageMargins left="0.2" right="0.1" top="0.25" bottom="0.25" header="0.3" footer="0.3"/>
  <pageSetup paperSize="9" orientation="portrait" r:id="rId2"/>
  <drawing r:id="rId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34"/>
  <sheetViews>
    <sheetView workbookViewId="0">
      <selection activeCell="I10" sqref="I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491</v>
      </c>
    </row>
    <row r="3" spans="1:10" x14ac:dyDescent="0.25">
      <c r="D3" s="2"/>
      <c r="E3" s="2"/>
      <c r="F3" s="2"/>
      <c r="H3" s="2" t="s">
        <v>492</v>
      </c>
    </row>
    <row r="4" spans="1:10" x14ac:dyDescent="0.25">
      <c r="D4" s="2"/>
      <c r="E4" s="2"/>
      <c r="F4" s="2"/>
      <c r="H4" s="2" t="s">
        <v>493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654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642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>
        <v>8800531429</v>
      </c>
      <c r="J9" s="186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643</v>
      </c>
      <c r="C16" s="43" t="s">
        <v>23</v>
      </c>
      <c r="D16" s="43">
        <v>100</v>
      </c>
      <c r="E16" s="50">
        <v>70</v>
      </c>
      <c r="F16" s="27">
        <f>D16*E16</f>
        <v>7000</v>
      </c>
      <c r="G16" s="27">
        <f>F16*0.17</f>
        <v>1190</v>
      </c>
      <c r="H16" s="39">
        <f>E16*1.17</f>
        <v>81.899999999999991</v>
      </c>
      <c r="I16" s="27">
        <f>H16*D16</f>
        <v>8189.9999999999991</v>
      </c>
      <c r="J16" s="28"/>
    </row>
    <row r="17" spans="1:10" s="21" customFormat="1" ht="25.5" x14ac:dyDescent="0.25">
      <c r="A17" s="22">
        <v>2</v>
      </c>
      <c r="B17" s="23" t="s">
        <v>644</v>
      </c>
      <c r="C17" s="43" t="s">
        <v>23</v>
      </c>
      <c r="D17" s="43">
        <v>500</v>
      </c>
      <c r="E17" s="50">
        <v>40</v>
      </c>
      <c r="F17" s="27">
        <f t="shared" ref="F17:F19" si="0">D17*E17</f>
        <v>20000</v>
      </c>
      <c r="G17" s="27">
        <f t="shared" ref="G17:G25" si="1">F17*0.17</f>
        <v>3400.0000000000005</v>
      </c>
      <c r="H17" s="39">
        <f t="shared" ref="H17:H21" si="2">E17*1.17</f>
        <v>46.8</v>
      </c>
      <c r="I17" s="27">
        <f t="shared" ref="I17:I25" si="3">H17*D17</f>
        <v>23400</v>
      </c>
      <c r="J17" s="28"/>
    </row>
    <row r="18" spans="1:10" s="21" customFormat="1" ht="25.5" x14ac:dyDescent="0.25">
      <c r="A18" s="22">
        <v>3</v>
      </c>
      <c r="B18" s="23" t="s">
        <v>645</v>
      </c>
      <c r="C18" s="43" t="s">
        <v>23</v>
      </c>
      <c r="D18" s="43">
        <v>100</v>
      </c>
      <c r="E18" s="26">
        <v>250</v>
      </c>
      <c r="F18" s="27">
        <f t="shared" si="0"/>
        <v>25000</v>
      </c>
      <c r="G18" s="27">
        <f t="shared" si="1"/>
        <v>4250</v>
      </c>
      <c r="H18" s="39">
        <f t="shared" si="2"/>
        <v>292.5</v>
      </c>
      <c r="I18" s="27">
        <f t="shared" si="3"/>
        <v>29250</v>
      </c>
      <c r="J18" s="28"/>
    </row>
    <row r="19" spans="1:10" s="21" customFormat="1" x14ac:dyDescent="0.25">
      <c r="A19" s="22">
        <v>4</v>
      </c>
      <c r="B19" s="23" t="s">
        <v>646</v>
      </c>
      <c r="C19" s="43" t="s">
        <v>23</v>
      </c>
      <c r="D19" s="43">
        <v>2000</v>
      </c>
      <c r="E19" s="50">
        <v>9</v>
      </c>
      <c r="F19" s="27">
        <f t="shared" si="0"/>
        <v>18000</v>
      </c>
      <c r="G19" s="27">
        <f>F19*0</f>
        <v>0</v>
      </c>
      <c r="H19" s="39">
        <f>E19*1</f>
        <v>9</v>
      </c>
      <c r="I19" s="27">
        <f t="shared" si="3"/>
        <v>18000</v>
      </c>
      <c r="J19" s="28"/>
    </row>
    <row r="20" spans="1:10" s="21" customFormat="1" x14ac:dyDescent="0.25">
      <c r="A20" s="22">
        <v>5</v>
      </c>
      <c r="B20" s="23" t="s">
        <v>647</v>
      </c>
      <c r="C20" s="43" t="s">
        <v>23</v>
      </c>
      <c r="D20" s="43">
        <v>200</v>
      </c>
      <c r="E20" s="50">
        <v>120</v>
      </c>
      <c r="F20" s="27">
        <f t="shared" ref="F20:F25" si="4">D20*E20</f>
        <v>24000</v>
      </c>
      <c r="G20" s="27">
        <f>F20*0</f>
        <v>0</v>
      </c>
      <c r="H20" s="39">
        <f>E20*1</f>
        <v>120</v>
      </c>
      <c r="I20" s="27">
        <f t="shared" si="3"/>
        <v>24000</v>
      </c>
      <c r="J20" s="28"/>
    </row>
    <row r="21" spans="1:10" s="21" customFormat="1" x14ac:dyDescent="0.25">
      <c r="A21" s="22">
        <v>6</v>
      </c>
      <c r="B21" s="23" t="s">
        <v>648</v>
      </c>
      <c r="C21" s="43" t="s">
        <v>23</v>
      </c>
      <c r="D21" s="43">
        <v>100</v>
      </c>
      <c r="E21" s="50">
        <v>80</v>
      </c>
      <c r="F21" s="27">
        <f t="shared" si="4"/>
        <v>8000</v>
      </c>
      <c r="G21" s="27">
        <f t="shared" si="1"/>
        <v>1360</v>
      </c>
      <c r="H21" s="39">
        <f t="shared" si="2"/>
        <v>93.6</v>
      </c>
      <c r="I21" s="27">
        <f t="shared" si="3"/>
        <v>9360</v>
      </c>
      <c r="J21" s="28"/>
    </row>
    <row r="22" spans="1:10" s="21" customFormat="1" ht="25.5" x14ac:dyDescent="0.25">
      <c r="A22" s="22">
        <v>7</v>
      </c>
      <c r="B22" s="23" t="s">
        <v>649</v>
      </c>
      <c r="C22" s="43" t="s">
        <v>23</v>
      </c>
      <c r="D22" s="43">
        <v>300</v>
      </c>
      <c r="E22" s="26">
        <v>150</v>
      </c>
      <c r="F22" s="27">
        <f t="shared" si="4"/>
        <v>45000</v>
      </c>
      <c r="G22" s="27">
        <f>F22*0.17</f>
        <v>7650.0000000000009</v>
      </c>
      <c r="H22" s="39">
        <f>E22*1.17</f>
        <v>175.5</v>
      </c>
      <c r="I22" s="27">
        <f t="shared" ref="I22:I23" si="5">H22*D22</f>
        <v>52650</v>
      </c>
      <c r="J22" s="28"/>
    </row>
    <row r="23" spans="1:10" s="21" customFormat="1" x14ac:dyDescent="0.25">
      <c r="A23" s="22">
        <v>8</v>
      </c>
      <c r="B23" s="23" t="s">
        <v>377</v>
      </c>
      <c r="C23" s="43" t="s">
        <v>23</v>
      </c>
      <c r="D23" s="43">
        <v>500</v>
      </c>
      <c r="E23" s="26">
        <v>70</v>
      </c>
      <c r="F23" s="27">
        <f t="shared" si="4"/>
        <v>35000</v>
      </c>
      <c r="G23" s="27">
        <f>F23*0.17</f>
        <v>5950</v>
      </c>
      <c r="H23" s="39">
        <f>E23*1.17</f>
        <v>81.899999999999991</v>
      </c>
      <c r="I23" s="27">
        <f t="shared" si="5"/>
        <v>40949.999999999993</v>
      </c>
      <c r="J23" s="28"/>
    </row>
    <row r="24" spans="1:10" s="21" customFormat="1" ht="25.5" x14ac:dyDescent="0.25">
      <c r="A24" s="22">
        <v>9</v>
      </c>
      <c r="B24" s="23" t="s">
        <v>650</v>
      </c>
      <c r="C24" s="43" t="s">
        <v>76</v>
      </c>
      <c r="D24" s="43">
        <v>100</v>
      </c>
      <c r="E24" s="26">
        <v>45</v>
      </c>
      <c r="F24" s="27">
        <f t="shared" si="4"/>
        <v>4500</v>
      </c>
      <c r="G24" s="27">
        <f>F24*0.17</f>
        <v>765</v>
      </c>
      <c r="H24" s="39">
        <f>E24*1.17</f>
        <v>52.65</v>
      </c>
      <c r="I24" s="27">
        <f t="shared" si="3"/>
        <v>5265</v>
      </c>
      <c r="J24" s="28"/>
    </row>
    <row r="25" spans="1:10" s="21" customFormat="1" x14ac:dyDescent="0.25">
      <c r="A25" s="22">
        <v>10</v>
      </c>
      <c r="B25" s="23" t="s">
        <v>651</v>
      </c>
      <c r="C25" s="43" t="s">
        <v>652</v>
      </c>
      <c r="D25" s="43">
        <v>500</v>
      </c>
      <c r="E25" s="26">
        <v>125</v>
      </c>
      <c r="F25" s="27">
        <f t="shared" si="4"/>
        <v>62500</v>
      </c>
      <c r="G25" s="27">
        <f t="shared" si="1"/>
        <v>10625</v>
      </c>
      <c r="H25" s="39">
        <f>E25*1.17</f>
        <v>146.25</v>
      </c>
      <c r="I25" s="27">
        <f t="shared" si="3"/>
        <v>73125</v>
      </c>
      <c r="J25" s="28"/>
    </row>
    <row r="26" spans="1:10" s="21" customFormat="1" x14ac:dyDescent="0.25">
      <c r="A26" s="29"/>
      <c r="B26" s="30"/>
      <c r="C26" s="31"/>
      <c r="D26" s="25"/>
      <c r="E26" s="26"/>
      <c r="F26" s="32"/>
      <c r="G26" s="32"/>
      <c r="H26" s="26"/>
      <c r="I26" s="32"/>
      <c r="J26" s="28"/>
    </row>
    <row r="27" spans="1:10" ht="15.75" thickBot="1" x14ac:dyDescent="0.3">
      <c r="A27" s="33"/>
      <c r="B27" s="34" t="s">
        <v>24</v>
      </c>
      <c r="C27" s="35"/>
      <c r="D27" s="36">
        <f>SUM(D16:D25)</f>
        <v>4400</v>
      </c>
      <c r="E27" s="35"/>
      <c r="F27" s="36">
        <f>SUM(F16:F25)</f>
        <v>249000</v>
      </c>
      <c r="G27" s="36">
        <f>SUM(G16:G25)</f>
        <v>35190</v>
      </c>
      <c r="H27" s="35"/>
      <c r="I27" s="36">
        <f>SUM(I16:I25)</f>
        <v>284190</v>
      </c>
      <c r="J27" s="37"/>
    </row>
    <row r="28" spans="1:10" ht="15.75" thickTop="1" x14ac:dyDescent="0.25">
      <c r="A28" s="33"/>
      <c r="B28" s="34" t="s">
        <v>653</v>
      </c>
      <c r="C28" s="35"/>
      <c r="D28" s="35"/>
      <c r="E28" s="35"/>
      <c r="F28" s="35"/>
      <c r="G28" s="35"/>
      <c r="H28" s="35"/>
      <c r="I28" s="35"/>
      <c r="J28" s="37"/>
    </row>
    <row r="29" spans="1:10" x14ac:dyDescent="0.25">
      <c r="A29" s="33"/>
      <c r="B29" s="38" t="s">
        <v>25</v>
      </c>
      <c r="C29" s="35"/>
      <c r="D29" s="35"/>
      <c r="E29" s="35"/>
      <c r="F29" s="35"/>
      <c r="G29" s="35"/>
      <c r="H29" s="35"/>
      <c r="I29" s="35"/>
      <c r="J29" s="37"/>
    </row>
    <row r="30" spans="1:10" ht="30" customHeight="1" x14ac:dyDescent="0.25">
      <c r="B30" s="183" t="s">
        <v>26</v>
      </c>
      <c r="C30" s="183"/>
      <c r="D30" s="183"/>
      <c r="E30" s="183"/>
      <c r="F30" s="183"/>
      <c r="G30" s="183"/>
      <c r="H30" s="183"/>
      <c r="I30" s="183"/>
      <c r="J30" s="183"/>
    </row>
    <row r="31" spans="1:10" x14ac:dyDescent="0.25">
      <c r="B31" t="s">
        <v>27</v>
      </c>
    </row>
    <row r="33" spans="2:8" x14ac:dyDescent="0.25">
      <c r="B33" t="s">
        <v>28</v>
      </c>
      <c r="H33" t="s">
        <v>28</v>
      </c>
    </row>
    <row r="34" spans="2:8" x14ac:dyDescent="0.25">
      <c r="B34" t="s">
        <v>29</v>
      </c>
      <c r="H34" t="s">
        <v>30</v>
      </c>
    </row>
  </sheetData>
  <mergeCells count="5">
    <mergeCell ref="A6:J6"/>
    <mergeCell ref="I7:J7"/>
    <mergeCell ref="I8:J8"/>
    <mergeCell ref="I9:J9"/>
    <mergeCell ref="B30:J30"/>
  </mergeCells>
  <hyperlinks>
    <hyperlink ref="H5" r:id="rId1" xr:uid="{00000000-0004-0000-1A00-000000000000}"/>
  </hyperlinks>
  <pageMargins left="0.2" right="0.1" top="0.25" bottom="0.25" header="0.3" footer="0.3"/>
  <pageSetup paperSize="9" orientation="portrait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B0ABF-41E5-4331-84A5-2510F1AA91DF}">
  <sheetPr filterMode="1"/>
  <dimension ref="A1:R36"/>
  <sheetViews>
    <sheetView topLeftCell="A8" workbookViewId="0">
      <selection activeCell="F17" sqref="F17:F2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2257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25.5" hidden="1" x14ac:dyDescent="0.25">
      <c r="A16" s="53">
        <v>1</v>
      </c>
      <c r="B16" s="78" t="s">
        <v>1517</v>
      </c>
      <c r="C16" s="53" t="s">
        <v>1506</v>
      </c>
      <c r="D16" s="79">
        <v>1</v>
      </c>
      <c r="E16" s="56">
        <v>250</v>
      </c>
      <c r="F16" s="56">
        <f t="shared" ref="F16:F26" si="0">D16*E16</f>
        <v>250</v>
      </c>
      <c r="G16" s="149">
        <f t="shared" ref="G16:G26" si="1">F16*0.17</f>
        <v>42.5</v>
      </c>
      <c r="H16" s="85">
        <f t="shared" ref="H16:H26" si="2">E16*1.17</f>
        <v>292.5</v>
      </c>
      <c r="I16" s="56">
        <f t="shared" ref="I16:I26" si="3">H16*D16</f>
        <v>292.5</v>
      </c>
      <c r="J16" s="83"/>
      <c r="N16" s="66"/>
    </row>
    <row r="17" spans="1:18" s="21" customFormat="1" ht="25.5" x14ac:dyDescent="0.25">
      <c r="A17" s="53">
        <v>2</v>
      </c>
      <c r="B17" s="78" t="s">
        <v>1513</v>
      </c>
      <c r="C17" s="53" t="s">
        <v>1505</v>
      </c>
      <c r="D17" s="79">
        <v>2</v>
      </c>
      <c r="E17" s="56">
        <v>75</v>
      </c>
      <c r="F17" s="56">
        <f t="shared" si="0"/>
        <v>150</v>
      </c>
      <c r="G17" s="149">
        <f>F17*0</f>
        <v>0</v>
      </c>
      <c r="H17" s="85">
        <f>E17*1</f>
        <v>75</v>
      </c>
      <c r="I17" s="56">
        <f t="shared" si="3"/>
        <v>150</v>
      </c>
      <c r="J17" s="83"/>
      <c r="N17" s="66"/>
    </row>
    <row r="18" spans="1:18" s="21" customFormat="1" ht="15.75" hidden="1" x14ac:dyDescent="0.25">
      <c r="A18" s="53">
        <v>3</v>
      </c>
      <c r="B18" s="78" t="s">
        <v>1493</v>
      </c>
      <c r="C18" s="53" t="s">
        <v>1506</v>
      </c>
      <c r="D18" s="79">
        <v>1</v>
      </c>
      <c r="E18" s="56">
        <v>180</v>
      </c>
      <c r="F18" s="56">
        <f t="shared" si="0"/>
        <v>180</v>
      </c>
      <c r="G18" s="149">
        <f t="shared" si="1"/>
        <v>30.6</v>
      </c>
      <c r="H18" s="85">
        <f t="shared" si="2"/>
        <v>210.6</v>
      </c>
      <c r="I18" s="56">
        <f t="shared" si="3"/>
        <v>210.6</v>
      </c>
      <c r="J18" s="83"/>
      <c r="N18" s="66"/>
    </row>
    <row r="19" spans="1:18" s="21" customFormat="1" ht="25.5" hidden="1" x14ac:dyDescent="0.25">
      <c r="A19" s="53">
        <v>4</v>
      </c>
      <c r="B19" s="78" t="s">
        <v>1496</v>
      </c>
      <c r="C19" s="53" t="s">
        <v>1506</v>
      </c>
      <c r="D19" s="79">
        <v>1</v>
      </c>
      <c r="E19" s="56">
        <v>30</v>
      </c>
      <c r="F19" s="56">
        <f t="shared" si="0"/>
        <v>30</v>
      </c>
      <c r="G19" s="149">
        <f t="shared" si="1"/>
        <v>5.1000000000000005</v>
      </c>
      <c r="H19" s="85">
        <f t="shared" si="2"/>
        <v>35.099999999999994</v>
      </c>
      <c r="I19" s="56">
        <f t="shared" si="3"/>
        <v>35.099999999999994</v>
      </c>
      <c r="J19" s="83"/>
      <c r="N19" s="66"/>
    </row>
    <row r="20" spans="1:18" s="21" customFormat="1" ht="15.75" x14ac:dyDescent="0.25">
      <c r="A20" s="53">
        <v>5</v>
      </c>
      <c r="B20" s="78" t="s">
        <v>1949</v>
      </c>
      <c r="C20" s="53" t="s">
        <v>76</v>
      </c>
      <c r="D20" s="79">
        <v>5</v>
      </c>
      <c r="E20" s="56">
        <v>75</v>
      </c>
      <c r="F20" s="56">
        <f t="shared" si="0"/>
        <v>375</v>
      </c>
      <c r="G20" s="149">
        <f t="shared" ref="G20:G21" si="4">F20*0</f>
        <v>0</v>
      </c>
      <c r="H20" s="85">
        <f t="shared" ref="H20:H21" si="5">E20*1</f>
        <v>75</v>
      </c>
      <c r="I20" s="56">
        <f t="shared" si="3"/>
        <v>375</v>
      </c>
      <c r="J20" s="83"/>
      <c r="N20" s="66"/>
    </row>
    <row r="21" spans="1:18" s="21" customFormat="1" ht="15.75" x14ac:dyDescent="0.25">
      <c r="A21" s="53">
        <v>6</v>
      </c>
      <c r="B21" s="78" t="s">
        <v>2242</v>
      </c>
      <c r="C21" s="53" t="s">
        <v>23</v>
      </c>
      <c r="D21" s="79">
        <v>2</v>
      </c>
      <c r="E21" s="56">
        <v>115</v>
      </c>
      <c r="F21" s="56">
        <f t="shared" si="0"/>
        <v>230</v>
      </c>
      <c r="G21" s="149">
        <f t="shared" si="4"/>
        <v>0</v>
      </c>
      <c r="H21" s="85">
        <f t="shared" si="5"/>
        <v>115</v>
      </c>
      <c r="I21" s="56">
        <f t="shared" si="3"/>
        <v>230</v>
      </c>
      <c r="J21" s="83"/>
      <c r="N21" s="66"/>
    </row>
    <row r="22" spans="1:18" s="21" customFormat="1" ht="15.75" hidden="1" x14ac:dyDescent="0.25">
      <c r="A22" s="53">
        <v>7</v>
      </c>
      <c r="B22" s="78" t="s">
        <v>966</v>
      </c>
      <c r="C22" s="53" t="s">
        <v>23</v>
      </c>
      <c r="D22" s="79">
        <v>10</v>
      </c>
      <c r="E22" s="56">
        <v>18</v>
      </c>
      <c r="F22" s="56">
        <f t="shared" si="0"/>
        <v>180</v>
      </c>
      <c r="G22" s="149">
        <f t="shared" si="1"/>
        <v>30.6</v>
      </c>
      <c r="H22" s="85">
        <f t="shared" si="2"/>
        <v>21.06</v>
      </c>
      <c r="I22" s="56">
        <f t="shared" si="3"/>
        <v>210.6</v>
      </c>
      <c r="J22" s="83"/>
      <c r="N22" s="66"/>
    </row>
    <row r="23" spans="1:18" s="21" customFormat="1" ht="15.75" hidden="1" x14ac:dyDescent="0.25">
      <c r="A23" s="53">
        <v>8</v>
      </c>
      <c r="B23" s="78" t="s">
        <v>2245</v>
      </c>
      <c r="C23" s="53" t="s">
        <v>23</v>
      </c>
      <c r="D23" s="79">
        <v>5</v>
      </c>
      <c r="E23" s="56">
        <v>25</v>
      </c>
      <c r="F23" s="56">
        <f t="shared" si="0"/>
        <v>125</v>
      </c>
      <c r="G23" s="149">
        <f t="shared" si="1"/>
        <v>21.25</v>
      </c>
      <c r="H23" s="85">
        <f t="shared" si="2"/>
        <v>29.25</v>
      </c>
      <c r="I23" s="56">
        <f t="shared" si="3"/>
        <v>146.25</v>
      </c>
      <c r="J23" s="83"/>
      <c r="N23" s="66"/>
    </row>
    <row r="24" spans="1:18" s="21" customFormat="1" ht="15.75" hidden="1" x14ac:dyDescent="0.25">
      <c r="A24" s="53">
        <v>9</v>
      </c>
      <c r="B24" s="78" t="s">
        <v>1950</v>
      </c>
      <c r="C24" s="53" t="s">
        <v>23</v>
      </c>
      <c r="D24" s="79">
        <v>5</v>
      </c>
      <c r="E24" s="56">
        <v>110</v>
      </c>
      <c r="F24" s="56">
        <f t="shared" si="0"/>
        <v>550</v>
      </c>
      <c r="G24" s="149">
        <f t="shared" si="1"/>
        <v>93.5</v>
      </c>
      <c r="H24" s="85">
        <f t="shared" si="2"/>
        <v>128.69999999999999</v>
      </c>
      <c r="I24" s="56">
        <f t="shared" si="3"/>
        <v>643.5</v>
      </c>
      <c r="J24" s="83"/>
      <c r="N24" s="66"/>
    </row>
    <row r="25" spans="1:18" s="21" customFormat="1" ht="15.75" hidden="1" x14ac:dyDescent="0.25">
      <c r="A25" s="53">
        <v>10</v>
      </c>
      <c r="B25" s="78" t="s">
        <v>2246</v>
      </c>
      <c r="C25" s="53" t="s">
        <v>23</v>
      </c>
      <c r="D25" s="79">
        <v>5</v>
      </c>
      <c r="E25" s="56">
        <v>160</v>
      </c>
      <c r="F25" s="56">
        <f t="shared" si="0"/>
        <v>800</v>
      </c>
      <c r="G25" s="149">
        <f t="shared" si="1"/>
        <v>136</v>
      </c>
      <c r="H25" s="85">
        <f t="shared" si="2"/>
        <v>187.2</v>
      </c>
      <c r="I25" s="56">
        <f t="shared" si="3"/>
        <v>936</v>
      </c>
      <c r="J25" s="83"/>
      <c r="N25" s="66"/>
    </row>
    <row r="26" spans="1:18" s="21" customFormat="1" ht="25.5" hidden="1" x14ac:dyDescent="0.25">
      <c r="A26" s="53">
        <v>11</v>
      </c>
      <c r="B26" s="78" t="s">
        <v>2247</v>
      </c>
      <c r="C26" s="53" t="s">
        <v>23</v>
      </c>
      <c r="D26" s="79">
        <v>2</v>
      </c>
      <c r="E26" s="56">
        <v>380</v>
      </c>
      <c r="F26" s="56">
        <f t="shared" si="0"/>
        <v>760</v>
      </c>
      <c r="G26" s="149">
        <f t="shared" si="1"/>
        <v>129.20000000000002</v>
      </c>
      <c r="H26" s="85">
        <f t="shared" si="2"/>
        <v>444.59999999999997</v>
      </c>
      <c r="I26" s="56">
        <f t="shared" si="3"/>
        <v>889.19999999999993</v>
      </c>
      <c r="J26" s="83"/>
      <c r="N26" s="66"/>
    </row>
    <row r="27" spans="1:18" s="21" customFormat="1" ht="15.75" hidden="1" x14ac:dyDescent="0.25">
      <c r="A27" s="53"/>
      <c r="B27" s="78"/>
      <c r="C27" s="53"/>
      <c r="D27" s="79"/>
      <c r="E27" s="56"/>
      <c r="F27" s="56"/>
      <c r="G27" s="149"/>
      <c r="H27" s="85"/>
      <c r="I27" s="56"/>
      <c r="J27" s="83"/>
      <c r="N27" s="66"/>
    </row>
    <row r="28" spans="1:18" ht="15.75" hidden="1" thickBot="1" x14ac:dyDescent="0.3">
      <c r="A28" s="33"/>
      <c r="B28" s="34" t="s">
        <v>24</v>
      </c>
      <c r="C28" s="35"/>
      <c r="D28" s="62">
        <f>SUM(D16:D27)</f>
        <v>39</v>
      </c>
      <c r="E28" s="35"/>
      <c r="F28" s="62">
        <f>SUM(F16:F27)</f>
        <v>3630</v>
      </c>
      <c r="G28" s="62">
        <f>SUM(G16:G27)</f>
        <v>488.75</v>
      </c>
      <c r="H28" s="35"/>
      <c r="I28" s="62">
        <f>SUM(I16:I27)</f>
        <v>4118.75</v>
      </c>
      <c r="J28" s="37"/>
    </row>
    <row r="29" spans="1:18" hidden="1" x14ac:dyDescent="0.25">
      <c r="A29" s="33"/>
      <c r="B29" s="34" t="s">
        <v>2258</v>
      </c>
      <c r="C29" s="35"/>
      <c r="D29" s="35"/>
      <c r="E29" s="35"/>
      <c r="F29" s="35"/>
      <c r="G29" s="35"/>
      <c r="H29" s="35"/>
      <c r="I29" s="35"/>
      <c r="J29" s="37"/>
    </row>
    <row r="30" spans="1:18" hidden="1" x14ac:dyDescent="0.25">
      <c r="A30" s="33"/>
      <c r="B30" s="38" t="s">
        <v>25</v>
      </c>
      <c r="C30" s="35"/>
      <c r="D30" s="35"/>
      <c r="E30" s="35"/>
      <c r="F30" s="35"/>
      <c r="G30" s="35"/>
      <c r="H30" s="35"/>
      <c r="I30" s="35"/>
      <c r="J30" s="37"/>
      <c r="M30" s="64"/>
      <c r="O30" s="65"/>
      <c r="P30" s="64"/>
      <c r="Q30" s="64"/>
      <c r="R30" s="64"/>
    </row>
    <row r="31" spans="1:18" ht="30" hidden="1" customHeight="1" x14ac:dyDescent="0.25">
      <c r="B31" s="183" t="s">
        <v>26</v>
      </c>
      <c r="C31" s="183"/>
      <c r="D31" s="183"/>
      <c r="E31" s="183"/>
      <c r="F31" s="183"/>
      <c r="G31" s="183"/>
      <c r="H31" s="183"/>
      <c r="I31" s="183"/>
      <c r="J31" s="183"/>
      <c r="P31" s="64"/>
      <c r="R31" s="65"/>
    </row>
    <row r="32" spans="1:18" hidden="1" x14ac:dyDescent="0.25">
      <c r="B32" t="s">
        <v>634</v>
      </c>
    </row>
    <row r="35" spans="2:8" x14ac:dyDescent="0.25">
      <c r="B35" t="s">
        <v>28</v>
      </c>
      <c r="H35" t="s">
        <v>28</v>
      </c>
    </row>
    <row r="36" spans="2:8" x14ac:dyDescent="0.25">
      <c r="B36" t="s">
        <v>29</v>
      </c>
      <c r="H36" t="s">
        <v>30</v>
      </c>
    </row>
  </sheetData>
  <autoFilter ref="A15:J32" xr:uid="{00000000-0009-0000-0000-000000000000}">
    <filterColumn colId="6">
      <filters>
        <filter val="-"/>
      </filters>
    </filterColumn>
  </autoFilter>
  <mergeCells count="5">
    <mergeCell ref="A6:J6"/>
    <mergeCell ref="I7:J7"/>
    <mergeCell ref="I8:J8"/>
    <mergeCell ref="I9:J9"/>
    <mergeCell ref="B31:J31"/>
  </mergeCells>
  <hyperlinks>
    <hyperlink ref="H5" r:id="rId1" xr:uid="{FB68DD77-0DAE-4DB7-9CCA-AE6AE7E786D3}"/>
  </hyperlinks>
  <pageMargins left="0.2" right="0.1" top="0.25" bottom="0.25" header="0.3" footer="0.3"/>
  <pageSetup paperSize="9" orientation="portrait" r:id="rId2"/>
  <drawing r:id="rId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26"/>
  <sheetViews>
    <sheetView workbookViewId="0">
      <selection activeCell="A8" sqref="A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655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638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639</v>
      </c>
      <c r="J9" s="186"/>
    </row>
    <row r="10" spans="1:10" x14ac:dyDescent="0.25">
      <c r="B10" t="s">
        <v>9</v>
      </c>
      <c r="C10" s="10" t="s">
        <v>494</v>
      </c>
      <c r="D10" s="10"/>
      <c r="E10" s="10"/>
      <c r="F10" s="10"/>
    </row>
    <row r="11" spans="1:10" x14ac:dyDescent="0.25">
      <c r="B11" t="s">
        <v>11</v>
      </c>
      <c r="C11" s="10" t="s">
        <v>466</v>
      </c>
      <c r="D11" s="11"/>
      <c r="E11" s="11"/>
      <c r="F11" s="11"/>
    </row>
    <row r="12" spans="1:10" x14ac:dyDescent="0.25">
      <c r="A12" s="12"/>
      <c r="B12" s="13"/>
      <c r="C12" s="14" t="s">
        <v>467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72</v>
      </c>
      <c r="C16" s="24" t="s">
        <v>23</v>
      </c>
      <c r="D16" s="25">
        <v>10</v>
      </c>
      <c r="E16" s="26">
        <v>30</v>
      </c>
      <c r="F16" s="27">
        <f>D16*E16</f>
        <v>300</v>
      </c>
      <c r="G16" s="27">
        <f>F16*0.17</f>
        <v>51.000000000000007</v>
      </c>
      <c r="H16" s="39">
        <f>E16*1.17</f>
        <v>35.099999999999994</v>
      </c>
      <c r="I16" s="27">
        <f>H16*D16</f>
        <v>350.99999999999994</v>
      </c>
      <c r="J16" s="28"/>
    </row>
    <row r="17" spans="1:10" s="21" customFormat="1" ht="25.5" x14ac:dyDescent="0.25">
      <c r="A17" s="22">
        <v>2</v>
      </c>
      <c r="B17" s="23" t="s">
        <v>640</v>
      </c>
      <c r="C17" s="24" t="s">
        <v>23</v>
      </c>
      <c r="D17" s="25">
        <v>25</v>
      </c>
      <c r="E17" s="26">
        <v>90</v>
      </c>
      <c r="F17" s="27">
        <f>D17*E17</f>
        <v>2250</v>
      </c>
      <c r="G17" s="27">
        <f>F17*0.17</f>
        <v>382.5</v>
      </c>
      <c r="H17" s="39">
        <f>E17*1.17</f>
        <v>105.3</v>
      </c>
      <c r="I17" s="27">
        <f>H17*D17</f>
        <v>2632.5</v>
      </c>
      <c r="J17" s="28"/>
    </row>
    <row r="18" spans="1:10" s="21" customFormat="1" x14ac:dyDescent="0.25">
      <c r="A18" s="29"/>
      <c r="B18" s="30"/>
      <c r="C18" s="31"/>
      <c r="D18" s="25"/>
      <c r="E18" s="26"/>
      <c r="F18" s="32"/>
      <c r="G18" s="32"/>
      <c r="H18" s="26"/>
      <c r="I18" s="32"/>
      <c r="J18" s="28"/>
    </row>
    <row r="19" spans="1:10" ht="15.75" thickBot="1" x14ac:dyDescent="0.3">
      <c r="A19" s="33"/>
      <c r="B19" s="34" t="s">
        <v>24</v>
      </c>
      <c r="C19" s="35"/>
      <c r="D19" s="36">
        <f>SUM(D16:D17)</f>
        <v>35</v>
      </c>
      <c r="E19" s="35"/>
      <c r="F19" s="36">
        <f>SUM(F16:F17)</f>
        <v>2550</v>
      </c>
      <c r="G19" s="36">
        <f>SUM(G16:G17)</f>
        <v>433.5</v>
      </c>
      <c r="H19" s="35"/>
      <c r="I19" s="36">
        <f>SUM(I16:I17)</f>
        <v>2983.5</v>
      </c>
      <c r="J19" s="37"/>
    </row>
    <row r="20" spans="1:10" ht="15.75" thickTop="1" x14ac:dyDescent="0.25">
      <c r="A20" s="33"/>
      <c r="B20" s="34" t="s">
        <v>641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471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mergeCells count="5">
    <mergeCell ref="A6:J6"/>
    <mergeCell ref="I7:J7"/>
    <mergeCell ref="I8:J8"/>
    <mergeCell ref="I9:J9"/>
    <mergeCell ref="B22:J22"/>
  </mergeCells>
  <hyperlinks>
    <hyperlink ref="H5" r:id="rId1" xr:uid="{00000000-0004-0000-1B00-000000000000}"/>
  </hyperlinks>
  <pageMargins left="0.2" right="0.1" top="0.25" bottom="0.25" header="0.3" footer="0.3"/>
  <pageSetup paperSize="9" orientation="portrait" r:id="rId2"/>
  <drawing r:id="rId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25"/>
  <sheetViews>
    <sheetView workbookViewId="0">
      <selection activeCell="A6" sqref="A6:J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635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636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108</v>
      </c>
      <c r="C16" s="24" t="s">
        <v>56</v>
      </c>
      <c r="D16" s="25">
        <v>20</v>
      </c>
      <c r="E16" s="26">
        <v>385</v>
      </c>
      <c r="F16" s="27">
        <f>D16*E16</f>
        <v>7700</v>
      </c>
      <c r="G16" s="27">
        <f>F16*0.17</f>
        <v>1309</v>
      </c>
      <c r="H16" s="39">
        <f>E16*1.17</f>
        <v>450.45</v>
      </c>
      <c r="I16" s="27">
        <f>H16*D16</f>
        <v>9009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20</v>
      </c>
      <c r="E18" s="35"/>
      <c r="F18" s="36">
        <f>SUM(F16:F16)</f>
        <v>7700</v>
      </c>
      <c r="G18" s="36">
        <f>SUM(G16:G16)</f>
        <v>1309</v>
      </c>
      <c r="H18" s="35"/>
      <c r="I18" s="36">
        <f>SUM(I16:I16)</f>
        <v>9009</v>
      </c>
      <c r="J18" s="37"/>
    </row>
    <row r="19" spans="1:10" ht="15.75" thickTop="1" x14ac:dyDescent="0.25">
      <c r="A19" s="33"/>
      <c r="B19" s="34" t="s">
        <v>637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1C00-000000000000}"/>
  </hyperlinks>
  <pageMargins left="0.2" right="0.1" top="0.25" bottom="0.25" header="0.3" footer="0.3"/>
  <pageSetup paperSize="9" orientation="portrait" r:id="rId2"/>
  <drawing r:id="rId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25"/>
  <sheetViews>
    <sheetView workbookViewId="0"/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627</v>
      </c>
    </row>
    <row r="3" spans="1:10" x14ac:dyDescent="0.25">
      <c r="D3" s="2"/>
      <c r="E3" s="2"/>
      <c r="F3" s="2"/>
      <c r="H3" s="2" t="s">
        <v>492</v>
      </c>
    </row>
    <row r="4" spans="1:10" x14ac:dyDescent="0.25">
      <c r="D4" s="2"/>
      <c r="E4" s="2"/>
      <c r="F4" s="2"/>
      <c r="H4" s="2" t="s">
        <v>628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625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626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629</v>
      </c>
      <c r="D10" s="10"/>
      <c r="E10" s="10"/>
      <c r="F10" s="10"/>
    </row>
    <row r="11" spans="1:10" x14ac:dyDescent="0.25">
      <c r="B11" t="s">
        <v>11</v>
      </c>
      <c r="C11" s="10" t="s">
        <v>630</v>
      </c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 t="s">
        <v>631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45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30.75" thickTop="1" x14ac:dyDescent="0.25">
      <c r="A16" s="22">
        <v>1</v>
      </c>
      <c r="B16" s="47" t="s">
        <v>632</v>
      </c>
      <c r="C16" s="24" t="s">
        <v>23</v>
      </c>
      <c r="D16" s="49">
        <v>600</v>
      </c>
      <c r="E16" s="27">
        <v>385</v>
      </c>
      <c r="F16" s="27">
        <f t="shared" ref="F16" si="0">D16*E16</f>
        <v>231000</v>
      </c>
      <c r="G16" s="27">
        <f>F16*0</f>
        <v>0</v>
      </c>
      <c r="H16" s="39">
        <f>E16*1</f>
        <v>385</v>
      </c>
      <c r="I16" s="27">
        <f t="shared" ref="I16" si="1">H16*D16</f>
        <v>231000</v>
      </c>
      <c r="J16" s="28"/>
    </row>
    <row r="17" spans="1:10" s="21" customFormat="1" x14ac:dyDescent="0.25">
      <c r="A17" s="29"/>
      <c r="B17" s="46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600</v>
      </c>
      <c r="E18" s="35"/>
      <c r="F18" s="36">
        <f>SUM(F16:F16)</f>
        <v>231000</v>
      </c>
      <c r="G18" s="36">
        <f>SUM(G16:G16)</f>
        <v>0</v>
      </c>
      <c r="H18" s="35"/>
      <c r="I18" s="36">
        <f>SUM(I16:I16)</f>
        <v>231000</v>
      </c>
      <c r="J18" s="37"/>
    </row>
    <row r="19" spans="1:10" ht="15.75" thickTop="1" x14ac:dyDescent="0.25">
      <c r="A19" s="33"/>
      <c r="B19" s="34" t="s">
        <v>633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1D00-000000000000}"/>
  </hyperlinks>
  <pageMargins left="0.2" right="0.1" top="0.25" bottom="0.25" header="0.3" footer="0.3"/>
  <pageSetup paperSize="9" orientation="portrait" r:id="rId2"/>
  <drawing r:id="rId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25"/>
  <sheetViews>
    <sheetView workbookViewId="0">
      <selection activeCell="B1" sqref="B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621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622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602</v>
      </c>
      <c r="J9" s="188"/>
    </row>
    <row r="10" spans="1:10" x14ac:dyDescent="0.25">
      <c r="B10" t="s">
        <v>9</v>
      </c>
      <c r="C10" s="10" t="s">
        <v>601</v>
      </c>
      <c r="D10" s="10"/>
      <c r="E10" s="10"/>
      <c r="F10" s="10"/>
    </row>
    <row r="11" spans="1:10" x14ac:dyDescent="0.25">
      <c r="B11" t="s">
        <v>11</v>
      </c>
      <c r="C11" s="10"/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/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45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30.75" thickTop="1" x14ac:dyDescent="0.25">
      <c r="A16" s="22">
        <v>1</v>
      </c>
      <c r="B16" s="47" t="s">
        <v>623</v>
      </c>
      <c r="C16" s="24" t="s">
        <v>23</v>
      </c>
      <c r="D16" s="49">
        <v>1</v>
      </c>
      <c r="E16" s="27">
        <f>24000/117*100</f>
        <v>20512.820512820515</v>
      </c>
      <c r="F16" s="27">
        <f t="shared" ref="F16" si="0">D16*E16</f>
        <v>20512.820512820515</v>
      </c>
      <c r="G16" s="27">
        <f>F16*0.17</f>
        <v>3487.1794871794878</v>
      </c>
      <c r="H16" s="39">
        <f>E16*1.17</f>
        <v>24000</v>
      </c>
      <c r="I16" s="27">
        <f t="shared" ref="I16" si="1">H16*D16</f>
        <v>24000</v>
      </c>
      <c r="J16" s="28"/>
    </row>
    <row r="17" spans="1:10" s="21" customFormat="1" x14ac:dyDescent="0.25">
      <c r="A17" s="29"/>
      <c r="B17" s="46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1</v>
      </c>
      <c r="E18" s="35"/>
      <c r="F18" s="36">
        <f>SUM(F16:F16)</f>
        <v>20512.820512820515</v>
      </c>
      <c r="G18" s="36">
        <f>SUM(G16:G16)</f>
        <v>3487.1794871794878</v>
      </c>
      <c r="H18" s="35"/>
      <c r="I18" s="36">
        <f>SUM(I16:I16)</f>
        <v>24000</v>
      </c>
      <c r="J18" s="37"/>
    </row>
    <row r="19" spans="1:10" ht="15.75" thickTop="1" x14ac:dyDescent="0.25">
      <c r="A19" s="33"/>
      <c r="B19" s="34" t="s">
        <v>624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1E00-000000000000}"/>
  </hyperlinks>
  <pageMargins left="0.2" right="0.1" top="0.25" bottom="0.25" header="0.3" footer="0.3"/>
  <pageSetup paperSize="9" orientation="portrait" r:id="rId2"/>
  <drawing r:id="rId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42"/>
  <sheetViews>
    <sheetView topLeftCell="A17" workbookViewId="0">
      <selection activeCell="A25" sqref="A2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599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600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602</v>
      </c>
      <c r="J9" s="188"/>
    </row>
    <row r="10" spans="1:10" x14ac:dyDescent="0.25">
      <c r="B10" t="s">
        <v>9</v>
      </c>
      <c r="C10" s="10" t="s">
        <v>601</v>
      </c>
      <c r="D10" s="10"/>
      <c r="E10" s="10"/>
      <c r="F10" s="10"/>
    </row>
    <row r="11" spans="1:10" x14ac:dyDescent="0.25">
      <c r="B11" t="s">
        <v>11</v>
      </c>
      <c r="C11" s="10"/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/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45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44" t="s">
        <v>603</v>
      </c>
      <c r="C16" s="24" t="s">
        <v>23</v>
      </c>
      <c r="D16" s="49">
        <v>3</v>
      </c>
      <c r="E16" s="27">
        <v>54</v>
      </c>
      <c r="F16" s="27">
        <f t="shared" ref="F16:F21" si="0">D16*E16</f>
        <v>162</v>
      </c>
      <c r="G16" s="27">
        <f>F16*0</f>
        <v>0</v>
      </c>
      <c r="H16" s="39">
        <f>E16*1</f>
        <v>54</v>
      </c>
      <c r="I16" s="27">
        <f t="shared" ref="I16:I21" si="1">H16*D16</f>
        <v>162</v>
      </c>
      <c r="J16" s="28"/>
    </row>
    <row r="17" spans="1:10" s="21" customFormat="1" x14ac:dyDescent="0.25">
      <c r="A17" s="22">
        <v>2</v>
      </c>
      <c r="B17" s="44" t="s">
        <v>604</v>
      </c>
      <c r="C17" s="24" t="s">
        <v>23</v>
      </c>
      <c r="D17" s="49">
        <v>87</v>
      </c>
      <c r="E17" s="27">
        <v>140</v>
      </c>
      <c r="F17" s="27">
        <f t="shared" si="0"/>
        <v>12180</v>
      </c>
      <c r="G17" s="27">
        <f t="shared" ref="G17:G21" si="2">F17*0.17</f>
        <v>2070.6000000000004</v>
      </c>
      <c r="H17" s="39">
        <f t="shared" ref="H17:H21" si="3">E17*1.17</f>
        <v>163.79999999999998</v>
      </c>
      <c r="I17" s="27">
        <f t="shared" si="1"/>
        <v>14250.599999999999</v>
      </c>
      <c r="J17" s="28"/>
    </row>
    <row r="18" spans="1:10" s="21" customFormat="1" x14ac:dyDescent="0.25">
      <c r="A18" s="22">
        <v>3</v>
      </c>
      <c r="B18" s="44" t="s">
        <v>605</v>
      </c>
      <c r="C18" s="24" t="s">
        <v>166</v>
      </c>
      <c r="D18" s="49">
        <v>9</v>
      </c>
      <c r="E18" s="27">
        <v>22</v>
      </c>
      <c r="F18" s="27">
        <f t="shared" si="0"/>
        <v>198</v>
      </c>
      <c r="G18" s="27">
        <f t="shared" si="2"/>
        <v>33.660000000000004</v>
      </c>
      <c r="H18" s="39">
        <f t="shared" si="3"/>
        <v>25.74</v>
      </c>
      <c r="I18" s="27">
        <f t="shared" si="1"/>
        <v>231.66</v>
      </c>
      <c r="J18" s="28"/>
    </row>
    <row r="19" spans="1:10" s="21" customFormat="1" x14ac:dyDescent="0.25">
      <c r="A19" s="22">
        <v>4</v>
      </c>
      <c r="B19" s="44" t="s">
        <v>606</v>
      </c>
      <c r="C19" s="24" t="s">
        <v>23</v>
      </c>
      <c r="D19" s="49">
        <v>24</v>
      </c>
      <c r="E19" s="27">
        <v>130</v>
      </c>
      <c r="F19" s="27">
        <f t="shared" si="0"/>
        <v>3120</v>
      </c>
      <c r="G19" s="27">
        <f t="shared" si="2"/>
        <v>530.40000000000009</v>
      </c>
      <c r="H19" s="39">
        <f t="shared" si="3"/>
        <v>152.1</v>
      </c>
      <c r="I19" s="27">
        <f t="shared" si="1"/>
        <v>3650.3999999999996</v>
      </c>
      <c r="J19" s="28"/>
    </row>
    <row r="20" spans="1:10" s="21" customFormat="1" x14ac:dyDescent="0.25">
      <c r="A20" s="22">
        <v>5</v>
      </c>
      <c r="B20" s="44" t="s">
        <v>607</v>
      </c>
      <c r="C20" s="24" t="s">
        <v>23</v>
      </c>
      <c r="D20" s="49">
        <v>2</v>
      </c>
      <c r="E20" s="27">
        <v>20</v>
      </c>
      <c r="F20" s="27">
        <f t="shared" si="0"/>
        <v>40</v>
      </c>
      <c r="G20" s="27">
        <f t="shared" si="2"/>
        <v>6.8000000000000007</v>
      </c>
      <c r="H20" s="39">
        <f t="shared" si="3"/>
        <v>23.4</v>
      </c>
      <c r="I20" s="27">
        <f t="shared" si="1"/>
        <v>46.8</v>
      </c>
      <c r="J20" s="28"/>
    </row>
    <row r="21" spans="1:10" s="21" customFormat="1" x14ac:dyDescent="0.25">
      <c r="A21" s="22">
        <v>6</v>
      </c>
      <c r="B21" s="44" t="s">
        <v>608</v>
      </c>
      <c r="C21" s="24" t="s">
        <v>23</v>
      </c>
      <c r="D21" s="49">
        <v>2</v>
      </c>
      <c r="E21" s="27">
        <v>35</v>
      </c>
      <c r="F21" s="27">
        <f t="shared" si="0"/>
        <v>70</v>
      </c>
      <c r="G21" s="27">
        <f t="shared" si="2"/>
        <v>11.9</v>
      </c>
      <c r="H21" s="39">
        <f t="shared" si="3"/>
        <v>40.949999999999996</v>
      </c>
      <c r="I21" s="27">
        <f t="shared" si="1"/>
        <v>81.899999999999991</v>
      </c>
      <c r="J21" s="28"/>
    </row>
    <row r="22" spans="1:10" s="21" customFormat="1" ht="45" x14ac:dyDescent="0.25">
      <c r="A22" s="22">
        <v>1</v>
      </c>
      <c r="B22" s="47" t="s">
        <v>609</v>
      </c>
      <c r="C22" s="24" t="s">
        <v>23</v>
      </c>
      <c r="D22" s="49">
        <v>24</v>
      </c>
      <c r="E22" s="27">
        <v>18</v>
      </c>
      <c r="F22" s="27">
        <f t="shared" ref="F22:F27" si="4">D22*E22</f>
        <v>432</v>
      </c>
      <c r="G22" s="27">
        <f t="shared" ref="G22:G27" si="5">F22*0.17</f>
        <v>73.440000000000012</v>
      </c>
      <c r="H22" s="39">
        <f t="shared" ref="H22:H27" si="6">E22*1.17</f>
        <v>21.06</v>
      </c>
      <c r="I22" s="27">
        <f t="shared" ref="I22:I27" si="7">H22*D22</f>
        <v>505.43999999999994</v>
      </c>
      <c r="J22" s="28"/>
    </row>
    <row r="23" spans="1:10" s="21" customFormat="1" x14ac:dyDescent="0.25">
      <c r="A23" s="22">
        <v>2</v>
      </c>
      <c r="B23" s="44" t="s">
        <v>610</v>
      </c>
      <c r="C23" s="24" t="s">
        <v>23</v>
      </c>
      <c r="D23" s="49">
        <v>24</v>
      </c>
      <c r="E23" s="27">
        <v>9.5</v>
      </c>
      <c r="F23" s="27">
        <f t="shared" si="4"/>
        <v>228</v>
      </c>
      <c r="G23" s="27">
        <f t="shared" si="5"/>
        <v>38.760000000000005</v>
      </c>
      <c r="H23" s="39">
        <f t="shared" si="6"/>
        <v>11.114999999999998</v>
      </c>
      <c r="I23" s="27">
        <f t="shared" si="7"/>
        <v>266.76</v>
      </c>
      <c r="J23" s="28"/>
    </row>
    <row r="24" spans="1:10" s="21" customFormat="1" x14ac:dyDescent="0.25">
      <c r="A24" s="22">
        <v>3</v>
      </c>
      <c r="B24" s="44" t="s">
        <v>611</v>
      </c>
      <c r="C24" s="24" t="s">
        <v>23</v>
      </c>
      <c r="D24" s="49">
        <v>9</v>
      </c>
      <c r="E24" s="27">
        <v>45</v>
      </c>
      <c r="F24" s="27">
        <f t="shared" si="4"/>
        <v>405</v>
      </c>
      <c r="G24" s="27">
        <f t="shared" si="5"/>
        <v>68.850000000000009</v>
      </c>
      <c r="H24" s="39">
        <f t="shared" si="6"/>
        <v>52.65</v>
      </c>
      <c r="I24" s="27">
        <f t="shared" si="7"/>
        <v>473.84999999999997</v>
      </c>
      <c r="J24" s="28"/>
    </row>
    <row r="25" spans="1:10" s="21" customFormat="1" x14ac:dyDescent="0.25">
      <c r="A25" s="22">
        <v>4</v>
      </c>
      <c r="B25" s="44" t="s">
        <v>612</v>
      </c>
      <c r="C25" s="24" t="s">
        <v>23</v>
      </c>
      <c r="D25" s="49">
        <v>1</v>
      </c>
      <c r="E25" s="27">
        <v>160</v>
      </c>
      <c r="F25" s="27">
        <f t="shared" si="4"/>
        <v>160</v>
      </c>
      <c r="G25" s="27">
        <f t="shared" si="5"/>
        <v>27.200000000000003</v>
      </c>
      <c r="H25" s="39">
        <f t="shared" si="6"/>
        <v>187.2</v>
      </c>
      <c r="I25" s="27">
        <f t="shared" si="7"/>
        <v>187.2</v>
      </c>
      <c r="J25" s="28"/>
    </row>
    <row r="26" spans="1:10" s="21" customFormat="1" x14ac:dyDescent="0.25">
      <c r="A26" s="22">
        <v>5</v>
      </c>
      <c r="B26" s="44" t="s">
        <v>613</v>
      </c>
      <c r="C26" s="24" t="s">
        <v>23</v>
      </c>
      <c r="D26" s="49">
        <v>2</v>
      </c>
      <c r="E26" s="27">
        <v>120</v>
      </c>
      <c r="F26" s="27">
        <f t="shared" si="4"/>
        <v>240</v>
      </c>
      <c r="G26" s="27">
        <f t="shared" si="5"/>
        <v>40.800000000000004</v>
      </c>
      <c r="H26" s="39">
        <f t="shared" si="6"/>
        <v>140.39999999999998</v>
      </c>
      <c r="I26" s="27">
        <f t="shared" si="7"/>
        <v>280.79999999999995</v>
      </c>
      <c r="J26" s="28"/>
    </row>
    <row r="27" spans="1:10" s="21" customFormat="1" x14ac:dyDescent="0.25">
      <c r="A27" s="22">
        <v>6</v>
      </c>
      <c r="B27" s="44" t="s">
        <v>614</v>
      </c>
      <c r="C27" s="24" t="s">
        <v>23</v>
      </c>
      <c r="D27" s="49">
        <v>10</v>
      </c>
      <c r="E27" s="27">
        <v>162</v>
      </c>
      <c r="F27" s="27">
        <f t="shared" si="4"/>
        <v>1620</v>
      </c>
      <c r="G27" s="27">
        <f t="shared" si="5"/>
        <v>275.40000000000003</v>
      </c>
      <c r="H27" s="39">
        <f t="shared" si="6"/>
        <v>189.54</v>
      </c>
      <c r="I27" s="27">
        <f t="shared" si="7"/>
        <v>1895.3999999999999</v>
      </c>
      <c r="J27" s="28"/>
    </row>
    <row r="28" spans="1:10" s="21" customFormat="1" x14ac:dyDescent="0.25">
      <c r="A28" s="22">
        <v>1</v>
      </c>
      <c r="B28" s="44" t="s">
        <v>388</v>
      </c>
      <c r="C28" s="24" t="s">
        <v>23</v>
      </c>
      <c r="D28" s="49">
        <v>24</v>
      </c>
      <c r="E28" s="27">
        <v>22</v>
      </c>
      <c r="F28" s="27">
        <f t="shared" ref="F28:F33" si="8">D28*E28</f>
        <v>528</v>
      </c>
      <c r="G28" s="27">
        <f t="shared" ref="G28:G33" si="9">F28*0.17</f>
        <v>89.76</v>
      </c>
      <c r="H28" s="39">
        <f t="shared" ref="H28:H33" si="10">E28*1.17</f>
        <v>25.74</v>
      </c>
      <c r="I28" s="27">
        <f t="shared" ref="I28:I33" si="11">H28*D28</f>
        <v>617.76</v>
      </c>
      <c r="J28" s="28"/>
    </row>
    <row r="29" spans="1:10" s="21" customFormat="1" x14ac:dyDescent="0.25">
      <c r="A29" s="22">
        <v>2</v>
      </c>
      <c r="B29" s="44" t="s">
        <v>615</v>
      </c>
      <c r="C29" s="24" t="s">
        <v>165</v>
      </c>
      <c r="D29" s="49">
        <v>1</v>
      </c>
      <c r="E29" s="27">
        <v>390</v>
      </c>
      <c r="F29" s="27">
        <f t="shared" si="8"/>
        <v>390</v>
      </c>
      <c r="G29" s="27">
        <f t="shared" si="9"/>
        <v>66.300000000000011</v>
      </c>
      <c r="H29" s="39">
        <f t="shared" si="10"/>
        <v>456.29999999999995</v>
      </c>
      <c r="I29" s="27">
        <f t="shared" si="11"/>
        <v>456.29999999999995</v>
      </c>
      <c r="J29" s="28"/>
    </row>
    <row r="30" spans="1:10" s="21" customFormat="1" x14ac:dyDescent="0.25">
      <c r="A30" s="22">
        <v>3</v>
      </c>
      <c r="B30" s="48" t="s">
        <v>616</v>
      </c>
      <c r="C30" s="24" t="s">
        <v>269</v>
      </c>
      <c r="D30" s="49">
        <v>150</v>
      </c>
      <c r="E30" s="27">
        <v>342</v>
      </c>
      <c r="F30" s="27">
        <f t="shared" si="8"/>
        <v>51300</v>
      </c>
      <c r="G30" s="27">
        <f t="shared" si="9"/>
        <v>8721</v>
      </c>
      <c r="H30" s="39">
        <f t="shared" si="10"/>
        <v>400.14</v>
      </c>
      <c r="I30" s="27">
        <f t="shared" si="11"/>
        <v>60021</v>
      </c>
      <c r="J30" s="28"/>
    </row>
    <row r="31" spans="1:10" s="21" customFormat="1" x14ac:dyDescent="0.25">
      <c r="A31" s="22">
        <v>4</v>
      </c>
      <c r="B31" s="44" t="s">
        <v>617</v>
      </c>
      <c r="C31" s="24" t="s">
        <v>23</v>
      </c>
      <c r="D31" s="49">
        <v>12</v>
      </c>
      <c r="E31" s="27">
        <v>38</v>
      </c>
      <c r="F31" s="27">
        <f t="shared" si="8"/>
        <v>456</v>
      </c>
      <c r="G31" s="27">
        <f t="shared" si="9"/>
        <v>77.52000000000001</v>
      </c>
      <c r="H31" s="39">
        <f t="shared" si="10"/>
        <v>44.459999999999994</v>
      </c>
      <c r="I31" s="27">
        <f t="shared" si="11"/>
        <v>533.52</v>
      </c>
      <c r="J31" s="28"/>
    </row>
    <row r="32" spans="1:10" s="21" customFormat="1" x14ac:dyDescent="0.25">
      <c r="A32" s="22">
        <v>5</v>
      </c>
      <c r="B32" s="44" t="s">
        <v>618</v>
      </c>
      <c r="C32" s="24" t="s">
        <v>76</v>
      </c>
      <c r="D32" s="49">
        <v>2</v>
      </c>
      <c r="E32" s="27">
        <v>45</v>
      </c>
      <c r="F32" s="27">
        <f t="shared" si="8"/>
        <v>90</v>
      </c>
      <c r="G32" s="27">
        <f t="shared" si="9"/>
        <v>15.3</v>
      </c>
      <c r="H32" s="39">
        <f t="shared" si="10"/>
        <v>52.65</v>
      </c>
      <c r="I32" s="27">
        <f t="shared" si="11"/>
        <v>105.3</v>
      </c>
      <c r="J32" s="28"/>
    </row>
    <row r="33" spans="1:10" s="21" customFormat="1" x14ac:dyDescent="0.25">
      <c r="A33" s="22">
        <v>6</v>
      </c>
      <c r="B33" s="44" t="s">
        <v>619</v>
      </c>
      <c r="C33" s="24" t="s">
        <v>23</v>
      </c>
      <c r="D33" s="49">
        <v>12</v>
      </c>
      <c r="E33" s="27">
        <v>60</v>
      </c>
      <c r="F33" s="27">
        <f t="shared" si="8"/>
        <v>720</v>
      </c>
      <c r="G33" s="27">
        <f t="shared" si="9"/>
        <v>122.4</v>
      </c>
      <c r="H33" s="39">
        <f t="shared" si="10"/>
        <v>70.199999999999989</v>
      </c>
      <c r="I33" s="27">
        <f t="shared" si="11"/>
        <v>842.39999999999986</v>
      </c>
      <c r="J33" s="28"/>
    </row>
    <row r="34" spans="1:10" s="21" customFormat="1" x14ac:dyDescent="0.25">
      <c r="A34" s="29"/>
      <c r="B34" s="46"/>
      <c r="C34" s="31"/>
      <c r="D34" s="25"/>
      <c r="E34" s="26"/>
      <c r="F34" s="32"/>
      <c r="G34" s="32"/>
      <c r="H34" s="26"/>
      <c r="I34" s="32"/>
      <c r="J34" s="28"/>
    </row>
    <row r="35" spans="1:10" ht="15.75" thickBot="1" x14ac:dyDescent="0.3">
      <c r="A35" s="33"/>
      <c r="B35" s="34" t="s">
        <v>24</v>
      </c>
      <c r="C35" s="35"/>
      <c r="D35" s="36">
        <f>SUM(D16:D33)</f>
        <v>398</v>
      </c>
      <c r="E35" s="35"/>
      <c r="F35" s="36">
        <f>SUM(F16:F33)</f>
        <v>72339</v>
      </c>
      <c r="G35" s="36">
        <f>SUM(G16:G33)</f>
        <v>12270.09</v>
      </c>
      <c r="H35" s="35"/>
      <c r="I35" s="36">
        <f>SUM(I16:I33)</f>
        <v>84609.09</v>
      </c>
      <c r="J35" s="37"/>
    </row>
    <row r="36" spans="1:10" ht="15.75" thickTop="1" x14ac:dyDescent="0.25">
      <c r="A36" s="33"/>
      <c r="B36" s="34" t="s">
        <v>620</v>
      </c>
      <c r="C36" s="35"/>
      <c r="D36" s="35"/>
      <c r="E36" s="35"/>
      <c r="F36" s="35"/>
      <c r="G36" s="35"/>
      <c r="H36" s="35"/>
      <c r="I36" s="35"/>
      <c r="J36" s="37"/>
    </row>
    <row r="37" spans="1:10" x14ac:dyDescent="0.25">
      <c r="A37" s="33"/>
      <c r="B37" s="38" t="s">
        <v>25</v>
      </c>
      <c r="C37" s="35"/>
      <c r="D37" s="35"/>
      <c r="E37" s="35"/>
      <c r="F37" s="35"/>
      <c r="G37" s="35"/>
      <c r="H37" s="35"/>
      <c r="I37" s="35"/>
      <c r="J37" s="37"/>
    </row>
    <row r="38" spans="1:10" ht="30" customHeight="1" x14ac:dyDescent="0.25">
      <c r="B38" s="183" t="s">
        <v>26</v>
      </c>
      <c r="C38" s="183"/>
      <c r="D38" s="183"/>
      <c r="E38" s="183"/>
      <c r="F38" s="183"/>
      <c r="G38" s="183"/>
      <c r="H38" s="183"/>
      <c r="I38" s="183"/>
      <c r="J38" s="183"/>
    </row>
    <row r="39" spans="1:10" x14ac:dyDescent="0.25">
      <c r="B39" t="s">
        <v>27</v>
      </c>
    </row>
    <row r="41" spans="1:10" x14ac:dyDescent="0.25">
      <c r="B41" t="s">
        <v>28</v>
      </c>
      <c r="H41" t="s">
        <v>28</v>
      </c>
    </row>
    <row r="42" spans="1:10" x14ac:dyDescent="0.25">
      <c r="B42" t="s">
        <v>29</v>
      </c>
      <c r="H42" t="s">
        <v>30</v>
      </c>
    </row>
  </sheetData>
  <mergeCells count="5">
    <mergeCell ref="A6:J6"/>
    <mergeCell ref="I7:J7"/>
    <mergeCell ref="I8:J8"/>
    <mergeCell ref="I9:J9"/>
    <mergeCell ref="B38:J38"/>
  </mergeCells>
  <hyperlinks>
    <hyperlink ref="H5" r:id="rId1" xr:uid="{00000000-0004-0000-1F00-000000000000}"/>
  </hyperlinks>
  <pageMargins left="0.2" right="0.1" top="0.25" bottom="0.25" header="0.3" footer="0.3"/>
  <pageSetup paperSize="9" orientation="portrait" r:id="rId2"/>
  <drawing r:id="rId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30"/>
  <sheetViews>
    <sheetView workbookViewId="0">
      <selection activeCell="I18" sqref="I1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591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590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502</v>
      </c>
      <c r="J9" s="188"/>
    </row>
    <row r="10" spans="1:10" x14ac:dyDescent="0.25">
      <c r="B10" t="s">
        <v>9</v>
      </c>
      <c r="C10" s="10" t="s">
        <v>134</v>
      </c>
      <c r="D10" s="10"/>
      <c r="E10" s="10"/>
      <c r="F10" s="10"/>
    </row>
    <row r="11" spans="1:10" x14ac:dyDescent="0.25">
      <c r="B11" t="s">
        <v>11</v>
      </c>
      <c r="C11" s="10" t="s">
        <v>135</v>
      </c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 t="s">
        <v>137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592</v>
      </c>
      <c r="C16" s="24" t="s">
        <v>23</v>
      </c>
      <c r="D16" s="25">
        <v>6</v>
      </c>
      <c r="E16" s="40">
        <f>187.2/117*100</f>
        <v>160</v>
      </c>
      <c r="F16" s="27">
        <f t="shared" ref="F16:F21" si="0">D16*E16</f>
        <v>960</v>
      </c>
      <c r="G16" s="27">
        <f t="shared" ref="G16:G21" si="1">F16*0.17</f>
        <v>163.20000000000002</v>
      </c>
      <c r="H16" s="39">
        <f t="shared" ref="H16:H21" si="2">E16*1.17</f>
        <v>187.2</v>
      </c>
      <c r="I16" s="27">
        <f t="shared" ref="I16:I21" si="3">H16*D16</f>
        <v>1123.1999999999998</v>
      </c>
      <c r="J16" s="28"/>
    </row>
    <row r="17" spans="1:10" s="21" customFormat="1" x14ac:dyDescent="0.25">
      <c r="A17" s="22">
        <v>2</v>
      </c>
      <c r="B17" s="23" t="s">
        <v>593</v>
      </c>
      <c r="C17" s="24" t="s">
        <v>23</v>
      </c>
      <c r="D17" s="25">
        <v>6</v>
      </c>
      <c r="E17" s="40">
        <f>187.2/117*100</f>
        <v>160</v>
      </c>
      <c r="F17" s="27">
        <f t="shared" si="0"/>
        <v>960</v>
      </c>
      <c r="G17" s="27">
        <f t="shared" si="1"/>
        <v>163.20000000000002</v>
      </c>
      <c r="H17" s="39">
        <f t="shared" si="2"/>
        <v>187.2</v>
      </c>
      <c r="I17" s="27">
        <f t="shared" si="3"/>
        <v>1123.1999999999998</v>
      </c>
      <c r="J17" s="28"/>
    </row>
    <row r="18" spans="1:10" s="21" customFormat="1" x14ac:dyDescent="0.25">
      <c r="A18" s="22">
        <v>3</v>
      </c>
      <c r="B18" s="23" t="s">
        <v>594</v>
      </c>
      <c r="C18" s="24" t="s">
        <v>23</v>
      </c>
      <c r="D18" s="25">
        <v>12</v>
      </c>
      <c r="E18" s="40">
        <f>210.6/117*100</f>
        <v>180</v>
      </c>
      <c r="F18" s="27">
        <f t="shared" si="0"/>
        <v>2160</v>
      </c>
      <c r="G18" s="27">
        <f t="shared" si="1"/>
        <v>367.20000000000005</v>
      </c>
      <c r="H18" s="39">
        <f t="shared" si="2"/>
        <v>210.6</v>
      </c>
      <c r="I18" s="27">
        <f t="shared" si="3"/>
        <v>2527.1999999999998</v>
      </c>
      <c r="J18" s="28"/>
    </row>
    <row r="19" spans="1:10" s="21" customFormat="1" x14ac:dyDescent="0.25">
      <c r="A19" s="22">
        <v>4</v>
      </c>
      <c r="B19" s="23" t="s">
        <v>595</v>
      </c>
      <c r="C19" s="24" t="s">
        <v>23</v>
      </c>
      <c r="D19" s="25">
        <v>12</v>
      </c>
      <c r="E19" s="40">
        <f>58.5/117*100</f>
        <v>50</v>
      </c>
      <c r="F19" s="27">
        <f t="shared" si="0"/>
        <v>600</v>
      </c>
      <c r="G19" s="27">
        <f t="shared" si="1"/>
        <v>102.00000000000001</v>
      </c>
      <c r="H19" s="39">
        <f t="shared" si="2"/>
        <v>58.5</v>
      </c>
      <c r="I19" s="27">
        <f t="shared" si="3"/>
        <v>702</v>
      </c>
      <c r="J19" s="28"/>
    </row>
    <row r="20" spans="1:10" s="21" customFormat="1" x14ac:dyDescent="0.25">
      <c r="A20" s="22">
        <v>5</v>
      </c>
      <c r="B20" s="23" t="s">
        <v>596</v>
      </c>
      <c r="C20" s="24" t="s">
        <v>23</v>
      </c>
      <c r="D20" s="25">
        <v>12</v>
      </c>
      <c r="E20" s="40">
        <f t="shared" ref="E20" si="4">58.5/117*100</f>
        <v>50</v>
      </c>
      <c r="F20" s="27">
        <f t="shared" si="0"/>
        <v>600</v>
      </c>
      <c r="G20" s="27">
        <f t="shared" si="1"/>
        <v>102.00000000000001</v>
      </c>
      <c r="H20" s="39">
        <f t="shared" si="2"/>
        <v>58.5</v>
      </c>
      <c r="I20" s="27">
        <f t="shared" si="3"/>
        <v>702</v>
      </c>
      <c r="J20" s="28"/>
    </row>
    <row r="21" spans="1:10" s="21" customFormat="1" ht="25.5" x14ac:dyDescent="0.25">
      <c r="A21" s="22">
        <v>6</v>
      </c>
      <c r="B21" s="23" t="s">
        <v>597</v>
      </c>
      <c r="C21" s="24" t="s">
        <v>23</v>
      </c>
      <c r="D21" s="25">
        <v>12</v>
      </c>
      <c r="E21" s="40">
        <f>117/117*100</f>
        <v>100</v>
      </c>
      <c r="F21" s="27">
        <f t="shared" si="0"/>
        <v>1200</v>
      </c>
      <c r="G21" s="27">
        <f t="shared" si="1"/>
        <v>204.00000000000003</v>
      </c>
      <c r="H21" s="39">
        <f t="shared" si="2"/>
        <v>117</v>
      </c>
      <c r="I21" s="27">
        <f t="shared" si="3"/>
        <v>1404</v>
      </c>
      <c r="J21" s="28"/>
    </row>
    <row r="22" spans="1:10" s="21" customFormat="1" x14ac:dyDescent="0.25">
      <c r="A22" s="29"/>
      <c r="B22" s="30"/>
      <c r="C22" s="31"/>
      <c r="D22" s="25"/>
      <c r="E22" s="26"/>
      <c r="F22" s="32"/>
      <c r="G22" s="32"/>
      <c r="H22" s="26"/>
      <c r="I22" s="32"/>
      <c r="J22" s="28"/>
    </row>
    <row r="23" spans="1:10" ht="15.75" thickBot="1" x14ac:dyDescent="0.3">
      <c r="A23" s="33"/>
      <c r="B23" s="34" t="s">
        <v>24</v>
      </c>
      <c r="C23" s="35"/>
      <c r="D23" s="36">
        <f>SUM(D16:D21)</f>
        <v>60</v>
      </c>
      <c r="E23" s="35"/>
      <c r="F23" s="36">
        <f>SUM(F16:F21)</f>
        <v>6480</v>
      </c>
      <c r="G23" s="36">
        <f>SUM(G16:G21)</f>
        <v>1101.6000000000001</v>
      </c>
      <c r="H23" s="35"/>
      <c r="I23" s="36">
        <f>SUM(I16:I21)</f>
        <v>7581.5999999999995</v>
      </c>
      <c r="J23" s="37"/>
    </row>
    <row r="24" spans="1:10" ht="15.75" thickTop="1" x14ac:dyDescent="0.25">
      <c r="A24" s="33"/>
      <c r="B24" s="34" t="s">
        <v>598</v>
      </c>
      <c r="C24" s="35"/>
      <c r="D24" s="35"/>
      <c r="E24" s="35"/>
      <c r="F24" s="35"/>
      <c r="G24" s="35"/>
      <c r="H24" s="35"/>
      <c r="I24" s="35"/>
      <c r="J24" s="37"/>
    </row>
    <row r="25" spans="1:10" x14ac:dyDescent="0.25">
      <c r="A25" s="33"/>
      <c r="B25" s="38" t="s">
        <v>25</v>
      </c>
      <c r="C25" s="35"/>
      <c r="D25" s="35"/>
      <c r="E25" s="35"/>
      <c r="F25" s="35"/>
      <c r="G25" s="35"/>
      <c r="H25" s="35"/>
      <c r="I25" s="35"/>
      <c r="J25" s="37"/>
    </row>
    <row r="26" spans="1:10" ht="30" customHeight="1" x14ac:dyDescent="0.25">
      <c r="B26" s="183" t="s">
        <v>26</v>
      </c>
      <c r="C26" s="183"/>
      <c r="D26" s="183"/>
      <c r="E26" s="183"/>
      <c r="F26" s="183"/>
      <c r="G26" s="183"/>
      <c r="H26" s="183"/>
      <c r="I26" s="183"/>
      <c r="J26" s="183"/>
    </row>
    <row r="27" spans="1:10" x14ac:dyDescent="0.25">
      <c r="B27" t="s">
        <v>27</v>
      </c>
    </row>
    <row r="29" spans="1:10" x14ac:dyDescent="0.25">
      <c r="B29" t="s">
        <v>28</v>
      </c>
      <c r="H29" t="s">
        <v>28</v>
      </c>
    </row>
    <row r="30" spans="1:10" x14ac:dyDescent="0.25">
      <c r="B30" t="s">
        <v>29</v>
      </c>
      <c r="H30" t="s">
        <v>30</v>
      </c>
    </row>
  </sheetData>
  <mergeCells count="5">
    <mergeCell ref="A6:J6"/>
    <mergeCell ref="I7:J7"/>
    <mergeCell ref="I8:J8"/>
    <mergeCell ref="I9:J9"/>
    <mergeCell ref="B26:J26"/>
  </mergeCells>
  <hyperlinks>
    <hyperlink ref="H5" r:id="rId1" xr:uid="{00000000-0004-0000-2000-000000000000}"/>
  </hyperlinks>
  <pageMargins left="0.2" right="0.1" top="0.25" bottom="0.25" header="0.3" footer="0.3"/>
  <pageSetup paperSize="9" orientation="portrait" r:id="rId2"/>
  <drawing r:id="rId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40"/>
  <sheetViews>
    <sheetView topLeftCell="A3" workbookViewId="0">
      <selection activeCell="C16" sqref="C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9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569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571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572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552</v>
      </c>
      <c r="D10" s="10"/>
      <c r="E10" s="10"/>
      <c r="F10" s="10"/>
    </row>
    <row r="11" spans="1:10" x14ac:dyDescent="0.25">
      <c r="B11" t="s">
        <v>11</v>
      </c>
      <c r="C11" s="10" t="s">
        <v>553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9" t="s">
        <v>567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573</v>
      </c>
      <c r="C16" s="24" t="s">
        <v>23</v>
      </c>
      <c r="D16" s="25">
        <v>1</v>
      </c>
      <c r="E16" s="200" t="s">
        <v>588</v>
      </c>
      <c r="F16" s="201"/>
      <c r="G16" s="201"/>
      <c r="H16" s="201"/>
      <c r="I16" s="202"/>
      <c r="J16" s="28"/>
    </row>
    <row r="17" spans="1:10" s="21" customFormat="1" ht="38.25" x14ac:dyDescent="0.25">
      <c r="A17" s="22">
        <v>2</v>
      </c>
      <c r="B17" s="23" t="s">
        <v>574</v>
      </c>
      <c r="C17" s="24" t="s">
        <v>23</v>
      </c>
      <c r="D17" s="25">
        <v>1</v>
      </c>
      <c r="E17" s="27">
        <v>8500</v>
      </c>
      <c r="F17" s="27">
        <f t="shared" ref="F17:F27" si="0">D17*E17</f>
        <v>8500</v>
      </c>
      <c r="G17" s="27">
        <f t="shared" ref="G17:G27" si="1">F17*0.17</f>
        <v>1445</v>
      </c>
      <c r="H17" s="39">
        <f t="shared" ref="H17:H29" si="2">E17*1.17</f>
        <v>9945</v>
      </c>
      <c r="I17" s="27">
        <f t="shared" ref="I17:I29" si="3">H17*D17</f>
        <v>9945</v>
      </c>
      <c r="J17" s="28"/>
    </row>
    <row r="18" spans="1:10" s="21" customFormat="1" ht="38.25" x14ac:dyDescent="0.25">
      <c r="A18" s="22">
        <v>2</v>
      </c>
      <c r="B18" s="23" t="s">
        <v>575</v>
      </c>
      <c r="C18" s="24" t="s">
        <v>23</v>
      </c>
      <c r="D18" s="25">
        <v>1</v>
      </c>
      <c r="E18" s="27">
        <v>12000</v>
      </c>
      <c r="F18" s="27">
        <f t="shared" si="0"/>
        <v>12000</v>
      </c>
      <c r="G18" s="27">
        <f t="shared" si="1"/>
        <v>2040.0000000000002</v>
      </c>
      <c r="H18" s="39">
        <f t="shared" si="2"/>
        <v>14040</v>
      </c>
      <c r="I18" s="27">
        <f t="shared" si="3"/>
        <v>14040</v>
      </c>
      <c r="J18" s="28"/>
    </row>
    <row r="19" spans="1:10" s="21" customFormat="1" x14ac:dyDescent="0.25">
      <c r="A19" s="22">
        <v>3</v>
      </c>
      <c r="B19" s="23" t="s">
        <v>576</v>
      </c>
      <c r="C19" s="24" t="s">
        <v>23</v>
      </c>
      <c r="D19" s="25">
        <v>1</v>
      </c>
      <c r="E19" s="26">
        <v>3</v>
      </c>
      <c r="F19" s="27">
        <f t="shared" si="0"/>
        <v>3</v>
      </c>
      <c r="G19" s="27">
        <f t="shared" si="1"/>
        <v>0.51</v>
      </c>
      <c r="H19" s="39">
        <f t="shared" si="2"/>
        <v>3.51</v>
      </c>
      <c r="I19" s="27">
        <f t="shared" si="3"/>
        <v>3.51</v>
      </c>
      <c r="J19" s="28"/>
    </row>
    <row r="20" spans="1:10" s="21" customFormat="1" x14ac:dyDescent="0.25">
      <c r="A20" s="22">
        <v>3</v>
      </c>
      <c r="B20" s="23" t="s">
        <v>577</v>
      </c>
      <c r="C20" s="24" t="s">
        <v>23</v>
      </c>
      <c r="D20" s="25">
        <v>1</v>
      </c>
      <c r="E20" s="26">
        <v>4</v>
      </c>
      <c r="F20" s="27">
        <f t="shared" si="0"/>
        <v>4</v>
      </c>
      <c r="G20" s="27">
        <f t="shared" si="1"/>
        <v>0.68</v>
      </c>
      <c r="H20" s="39">
        <f t="shared" si="2"/>
        <v>4.68</v>
      </c>
      <c r="I20" s="27">
        <f t="shared" si="3"/>
        <v>4.68</v>
      </c>
      <c r="J20" s="28"/>
    </row>
    <row r="21" spans="1:10" s="21" customFormat="1" x14ac:dyDescent="0.25">
      <c r="A21" s="22">
        <v>3</v>
      </c>
      <c r="B21" s="23" t="s">
        <v>578</v>
      </c>
      <c r="C21" s="24" t="s">
        <v>23</v>
      </c>
      <c r="D21" s="25">
        <v>1</v>
      </c>
      <c r="E21" s="26">
        <v>5</v>
      </c>
      <c r="F21" s="27">
        <f t="shared" si="0"/>
        <v>5</v>
      </c>
      <c r="G21" s="27">
        <f t="shared" si="1"/>
        <v>0.85000000000000009</v>
      </c>
      <c r="H21" s="39">
        <f t="shared" si="2"/>
        <v>5.85</v>
      </c>
      <c r="I21" s="27">
        <f t="shared" si="3"/>
        <v>5.85</v>
      </c>
      <c r="J21" s="28"/>
    </row>
    <row r="22" spans="1:10" s="21" customFormat="1" x14ac:dyDescent="0.25">
      <c r="A22" s="22">
        <v>3</v>
      </c>
      <c r="B22" s="23" t="s">
        <v>579</v>
      </c>
      <c r="C22" s="24" t="s">
        <v>23</v>
      </c>
      <c r="D22" s="25">
        <v>1</v>
      </c>
      <c r="E22" s="26">
        <v>6</v>
      </c>
      <c r="F22" s="27">
        <f t="shared" si="0"/>
        <v>6</v>
      </c>
      <c r="G22" s="27">
        <f t="shared" si="1"/>
        <v>1.02</v>
      </c>
      <c r="H22" s="39">
        <f t="shared" si="2"/>
        <v>7.02</v>
      </c>
      <c r="I22" s="27">
        <f t="shared" si="3"/>
        <v>7.02</v>
      </c>
      <c r="J22" s="28"/>
    </row>
    <row r="23" spans="1:10" s="21" customFormat="1" x14ac:dyDescent="0.25">
      <c r="A23" s="22">
        <v>3</v>
      </c>
      <c r="B23" s="23" t="s">
        <v>580</v>
      </c>
      <c r="C23" s="24" t="s">
        <v>23</v>
      </c>
      <c r="D23" s="25">
        <v>1</v>
      </c>
      <c r="E23" s="26">
        <v>7.5</v>
      </c>
      <c r="F23" s="27">
        <f t="shared" si="0"/>
        <v>7.5</v>
      </c>
      <c r="G23" s="27">
        <f t="shared" si="1"/>
        <v>1.2750000000000001</v>
      </c>
      <c r="H23" s="39">
        <f t="shared" si="2"/>
        <v>8.7749999999999986</v>
      </c>
      <c r="I23" s="27">
        <f t="shared" si="3"/>
        <v>8.7749999999999986</v>
      </c>
      <c r="J23" s="28"/>
    </row>
    <row r="24" spans="1:10" s="21" customFormat="1" x14ac:dyDescent="0.25">
      <c r="A24" s="22">
        <v>3</v>
      </c>
      <c r="B24" s="23" t="s">
        <v>581</v>
      </c>
      <c r="C24" s="24" t="s">
        <v>23</v>
      </c>
      <c r="D24" s="25">
        <v>1</v>
      </c>
      <c r="E24" s="26">
        <v>9</v>
      </c>
      <c r="F24" s="27">
        <f t="shared" si="0"/>
        <v>9</v>
      </c>
      <c r="G24" s="27">
        <f t="shared" si="1"/>
        <v>1.53</v>
      </c>
      <c r="H24" s="39">
        <f t="shared" si="2"/>
        <v>10.53</v>
      </c>
      <c r="I24" s="27">
        <f t="shared" si="3"/>
        <v>10.53</v>
      </c>
      <c r="J24" s="28"/>
    </row>
    <row r="25" spans="1:10" s="21" customFormat="1" x14ac:dyDescent="0.25">
      <c r="A25" s="22">
        <v>3</v>
      </c>
      <c r="B25" s="23" t="s">
        <v>582</v>
      </c>
      <c r="C25" s="24" t="s">
        <v>23</v>
      </c>
      <c r="D25" s="25">
        <v>1</v>
      </c>
      <c r="E25" s="26">
        <v>12</v>
      </c>
      <c r="F25" s="27">
        <f t="shared" si="0"/>
        <v>12</v>
      </c>
      <c r="G25" s="27">
        <f t="shared" si="1"/>
        <v>2.04</v>
      </c>
      <c r="H25" s="39">
        <f t="shared" si="2"/>
        <v>14.04</v>
      </c>
      <c r="I25" s="27">
        <f t="shared" si="3"/>
        <v>14.04</v>
      </c>
      <c r="J25" s="28"/>
    </row>
    <row r="26" spans="1:10" s="21" customFormat="1" x14ac:dyDescent="0.25">
      <c r="A26" s="22">
        <v>3</v>
      </c>
      <c r="B26" s="23" t="s">
        <v>583</v>
      </c>
      <c r="C26" s="24" t="s">
        <v>23</v>
      </c>
      <c r="D26" s="25">
        <v>1</v>
      </c>
      <c r="E26" s="26">
        <v>15</v>
      </c>
      <c r="F26" s="27">
        <f t="shared" si="0"/>
        <v>15</v>
      </c>
      <c r="G26" s="27">
        <f t="shared" si="1"/>
        <v>2.5500000000000003</v>
      </c>
      <c r="H26" s="39">
        <f t="shared" si="2"/>
        <v>17.549999999999997</v>
      </c>
      <c r="I26" s="27">
        <f t="shared" si="3"/>
        <v>17.549999999999997</v>
      </c>
      <c r="J26" s="28"/>
    </row>
    <row r="27" spans="1:10" s="21" customFormat="1" ht="25.5" x14ac:dyDescent="0.25">
      <c r="A27" s="22">
        <v>4</v>
      </c>
      <c r="B27" s="23" t="s">
        <v>584</v>
      </c>
      <c r="C27" s="24" t="s">
        <v>23</v>
      </c>
      <c r="D27" s="25">
        <v>1</v>
      </c>
      <c r="E27" s="27">
        <v>350</v>
      </c>
      <c r="F27" s="27">
        <f t="shared" si="0"/>
        <v>350</v>
      </c>
      <c r="G27" s="27">
        <f t="shared" si="1"/>
        <v>59.500000000000007</v>
      </c>
      <c r="H27" s="39">
        <f t="shared" si="2"/>
        <v>409.5</v>
      </c>
      <c r="I27" s="27">
        <f t="shared" si="3"/>
        <v>409.5</v>
      </c>
      <c r="J27" s="28"/>
    </row>
    <row r="28" spans="1:10" s="21" customFormat="1" x14ac:dyDescent="0.25">
      <c r="A28" s="22">
        <v>5</v>
      </c>
      <c r="B28" s="30" t="s">
        <v>585</v>
      </c>
      <c r="C28" s="24" t="s">
        <v>23</v>
      </c>
      <c r="D28" s="25">
        <v>1</v>
      </c>
      <c r="E28" s="26">
        <v>50</v>
      </c>
      <c r="F28" s="27">
        <f t="shared" ref="F28:F29" si="4">D28*E28</f>
        <v>50</v>
      </c>
      <c r="G28" s="27">
        <f t="shared" ref="G28:G29" si="5">F28*0.17</f>
        <v>8.5</v>
      </c>
      <c r="H28" s="26">
        <f t="shared" si="2"/>
        <v>58.5</v>
      </c>
      <c r="I28" s="32">
        <f t="shared" si="3"/>
        <v>58.5</v>
      </c>
      <c r="J28" s="28"/>
    </row>
    <row r="29" spans="1:10" s="21" customFormat="1" x14ac:dyDescent="0.25">
      <c r="A29" s="22">
        <v>5</v>
      </c>
      <c r="B29" s="30" t="s">
        <v>586</v>
      </c>
      <c r="C29" s="24" t="s">
        <v>23</v>
      </c>
      <c r="D29" s="25">
        <v>1</v>
      </c>
      <c r="E29" s="26">
        <v>100</v>
      </c>
      <c r="F29" s="27">
        <f t="shared" si="4"/>
        <v>100</v>
      </c>
      <c r="G29" s="27">
        <f t="shared" si="5"/>
        <v>17</v>
      </c>
      <c r="H29" s="26">
        <f t="shared" si="2"/>
        <v>117</v>
      </c>
      <c r="I29" s="32">
        <f t="shared" si="3"/>
        <v>117</v>
      </c>
      <c r="J29" s="28"/>
    </row>
    <row r="30" spans="1:10" ht="15.75" thickBot="1" x14ac:dyDescent="0.3">
      <c r="A30" s="33"/>
      <c r="B30" s="34" t="s">
        <v>24</v>
      </c>
      <c r="C30" s="35"/>
      <c r="D30" s="36">
        <f>SUM(D16:D27)</f>
        <v>12</v>
      </c>
      <c r="E30" s="35"/>
      <c r="F30" s="36">
        <f>SUM(F16:F29)</f>
        <v>21061.5</v>
      </c>
      <c r="G30" s="36">
        <f>SUM(G16:G29)</f>
        <v>3580.4550000000004</v>
      </c>
      <c r="H30" s="35"/>
      <c r="I30" s="36">
        <f>SUM(I16:I29)</f>
        <v>24641.954999999998</v>
      </c>
      <c r="J30" s="37"/>
    </row>
    <row r="31" spans="1:10" ht="15.75" thickTop="1" x14ac:dyDescent="0.25">
      <c r="A31" s="33"/>
      <c r="B31" s="34"/>
      <c r="C31" s="35"/>
      <c r="D31" s="35"/>
      <c r="E31" s="35"/>
      <c r="F31" s="35"/>
      <c r="G31" s="35"/>
      <c r="H31" s="35"/>
      <c r="I31" s="35"/>
      <c r="J31" s="37"/>
    </row>
    <row r="32" spans="1:10" x14ac:dyDescent="0.25">
      <c r="A32" s="33"/>
      <c r="B32" s="38" t="s">
        <v>25</v>
      </c>
      <c r="C32" s="35"/>
      <c r="D32" s="35"/>
      <c r="E32" s="35"/>
      <c r="F32" s="35"/>
      <c r="G32" s="35"/>
      <c r="H32" s="35"/>
      <c r="I32" s="35"/>
      <c r="J32" s="37"/>
    </row>
    <row r="33" spans="2:10" x14ac:dyDescent="0.25">
      <c r="B33" s="183" t="s">
        <v>587</v>
      </c>
      <c r="C33" s="183"/>
      <c r="D33" s="183"/>
      <c r="E33" s="183"/>
      <c r="F33" s="183"/>
      <c r="G33" s="183"/>
      <c r="H33" s="183"/>
      <c r="I33" s="183"/>
      <c r="J33" s="183"/>
    </row>
    <row r="39" spans="2:10" x14ac:dyDescent="0.25">
      <c r="B39" t="s">
        <v>28</v>
      </c>
      <c r="H39" t="s">
        <v>28</v>
      </c>
    </row>
    <row r="40" spans="2:10" x14ac:dyDescent="0.25">
      <c r="B40" t="s">
        <v>29</v>
      </c>
      <c r="H40" t="s">
        <v>30</v>
      </c>
    </row>
  </sheetData>
  <mergeCells count="6">
    <mergeCell ref="A6:J6"/>
    <mergeCell ref="I7:J7"/>
    <mergeCell ref="I8:J8"/>
    <mergeCell ref="I9:J9"/>
    <mergeCell ref="B33:J33"/>
    <mergeCell ref="E16:I16"/>
  </mergeCells>
  <hyperlinks>
    <hyperlink ref="H5" r:id="rId1" xr:uid="{00000000-0004-0000-2100-000000000000}"/>
  </hyperlinks>
  <pageMargins left="0.2" right="0.1" top="0.25" bottom="0.25" header="0.3" footer="0.3"/>
  <pageSetup paperSize="9" orientation="portrait" r:id="rId2"/>
  <drawing r:id="rId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J31"/>
  <sheetViews>
    <sheetView topLeftCell="A5" workbookViewId="0">
      <selection activeCell="I8" sqref="I8:J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9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569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551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570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552</v>
      </c>
      <c r="D10" s="10"/>
      <c r="E10" s="10"/>
      <c r="F10" s="10"/>
    </row>
    <row r="11" spans="1:10" x14ac:dyDescent="0.25">
      <c r="B11" t="s">
        <v>11</v>
      </c>
      <c r="C11" s="10" t="s">
        <v>553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9" t="s">
        <v>567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51.75" thickTop="1" x14ac:dyDescent="0.25">
      <c r="A16" s="203">
        <v>1</v>
      </c>
      <c r="B16" s="23" t="s">
        <v>564</v>
      </c>
      <c r="C16" s="24" t="s">
        <v>23</v>
      </c>
      <c r="D16" s="25">
        <v>1</v>
      </c>
      <c r="E16" s="27">
        <v>175000</v>
      </c>
      <c r="F16" s="27">
        <f>D16*E16</f>
        <v>175000</v>
      </c>
      <c r="G16" s="27">
        <f>F16*0.17</f>
        <v>29750.000000000004</v>
      </c>
      <c r="H16" s="39">
        <f>E16*1.17</f>
        <v>204750</v>
      </c>
      <c r="I16" s="27">
        <f>H16*D16</f>
        <v>204750</v>
      </c>
      <c r="J16" s="28"/>
    </row>
    <row r="17" spans="1:10" s="21" customFormat="1" ht="51" x14ac:dyDescent="0.25">
      <c r="A17" s="204"/>
      <c r="B17" s="23" t="s">
        <v>555</v>
      </c>
      <c r="C17" s="24" t="s">
        <v>23</v>
      </c>
      <c r="D17" s="25">
        <v>1</v>
      </c>
      <c r="E17" s="27">
        <v>31000</v>
      </c>
      <c r="F17" s="27">
        <f>D17*E17</f>
        <v>31000</v>
      </c>
      <c r="G17" s="27">
        <f>F17*0.17</f>
        <v>5270</v>
      </c>
      <c r="H17" s="39">
        <f>E17*1.17</f>
        <v>36270</v>
      </c>
      <c r="I17" s="27">
        <f>H17*D17</f>
        <v>36270</v>
      </c>
      <c r="J17" s="28"/>
    </row>
    <row r="18" spans="1:10" s="21" customFormat="1" ht="38.25" x14ac:dyDescent="0.25">
      <c r="A18" s="205"/>
      <c r="B18" s="23" t="s">
        <v>556</v>
      </c>
      <c r="C18" s="24" t="s">
        <v>23</v>
      </c>
      <c r="D18" s="25">
        <v>1</v>
      </c>
      <c r="E18" s="26">
        <v>0</v>
      </c>
      <c r="F18" s="27">
        <f>D18*E18</f>
        <v>0</v>
      </c>
      <c r="G18" s="27">
        <f>F18*0.17</f>
        <v>0</v>
      </c>
      <c r="H18" s="39">
        <f>E18*1.17</f>
        <v>0</v>
      </c>
      <c r="I18" s="27">
        <f>H18*D18</f>
        <v>0</v>
      </c>
      <c r="J18" s="28"/>
    </row>
    <row r="19" spans="1:10" s="21" customFormat="1" ht="63.75" x14ac:dyDescent="0.25">
      <c r="A19" s="22">
        <v>2</v>
      </c>
      <c r="B19" s="23" t="s">
        <v>565</v>
      </c>
      <c r="C19" s="24" t="s">
        <v>23</v>
      </c>
      <c r="D19" s="25">
        <v>4</v>
      </c>
      <c r="E19" s="27">
        <v>28000</v>
      </c>
      <c r="F19" s="27">
        <f>D19*E19</f>
        <v>112000</v>
      </c>
      <c r="G19" s="27">
        <f>F19*0.17</f>
        <v>19040</v>
      </c>
      <c r="H19" s="39">
        <f>E19*1.17</f>
        <v>32759.999999999996</v>
      </c>
      <c r="I19" s="27">
        <f>H19*D19</f>
        <v>131039.99999999999</v>
      </c>
      <c r="J19" s="28"/>
    </row>
    <row r="20" spans="1:10" s="21" customFormat="1" x14ac:dyDescent="0.25">
      <c r="A20" s="29"/>
      <c r="B20" s="30"/>
      <c r="C20" s="31"/>
      <c r="D20" s="25"/>
      <c r="E20" s="26"/>
      <c r="F20" s="32"/>
      <c r="G20" s="32"/>
      <c r="H20" s="26"/>
      <c r="I20" s="32"/>
      <c r="J20" s="28"/>
    </row>
    <row r="21" spans="1:10" ht="15.75" thickBot="1" x14ac:dyDescent="0.3">
      <c r="A21" s="33"/>
      <c r="B21" s="34" t="s">
        <v>24</v>
      </c>
      <c r="C21" s="35"/>
      <c r="D21" s="36">
        <f>SUM(D16:D19)</f>
        <v>7</v>
      </c>
      <c r="E21" s="35"/>
      <c r="F21" s="36">
        <f>SUM(F16:F19)</f>
        <v>318000</v>
      </c>
      <c r="G21" s="36">
        <f>SUM(G16:G19)</f>
        <v>54060</v>
      </c>
      <c r="H21" s="35"/>
      <c r="I21" s="36">
        <f>SUM(I16:I19)</f>
        <v>372060</v>
      </c>
      <c r="J21" s="37"/>
    </row>
    <row r="22" spans="1:10" ht="15.75" thickTop="1" x14ac:dyDescent="0.25">
      <c r="A22" s="33"/>
      <c r="B22" s="34" t="s">
        <v>566</v>
      </c>
      <c r="C22" s="35"/>
      <c r="D22" s="35"/>
      <c r="E22" s="35"/>
      <c r="F22" s="35"/>
      <c r="G22" s="35"/>
      <c r="H22" s="35"/>
      <c r="I22" s="35"/>
      <c r="J22" s="37"/>
    </row>
    <row r="23" spans="1:10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</row>
    <row r="24" spans="1:10" x14ac:dyDescent="0.25">
      <c r="B24" s="183" t="s">
        <v>558</v>
      </c>
      <c r="C24" s="183"/>
      <c r="D24" s="183"/>
      <c r="E24" s="183"/>
      <c r="F24" s="183"/>
      <c r="G24" s="183"/>
      <c r="H24" s="183"/>
      <c r="I24" s="183"/>
      <c r="J24" s="183"/>
    </row>
    <row r="25" spans="1:10" x14ac:dyDescent="0.25">
      <c r="B25" t="s">
        <v>559</v>
      </c>
    </row>
    <row r="26" spans="1:10" x14ac:dyDescent="0.25">
      <c r="B26" t="s">
        <v>560</v>
      </c>
    </row>
    <row r="27" spans="1:10" x14ac:dyDescent="0.25">
      <c r="B27" t="s">
        <v>561</v>
      </c>
    </row>
    <row r="28" spans="1:10" x14ac:dyDescent="0.25">
      <c r="B28" t="s">
        <v>562</v>
      </c>
    </row>
    <row r="30" spans="1:10" x14ac:dyDescent="0.25">
      <c r="B30" t="s">
        <v>28</v>
      </c>
      <c r="H30" t="s">
        <v>28</v>
      </c>
    </row>
    <row r="31" spans="1:10" x14ac:dyDescent="0.25">
      <c r="B31" t="s">
        <v>29</v>
      </c>
      <c r="H31" t="s">
        <v>30</v>
      </c>
    </row>
  </sheetData>
  <mergeCells count="6">
    <mergeCell ref="B24:J24"/>
    <mergeCell ref="A6:J6"/>
    <mergeCell ref="I7:J7"/>
    <mergeCell ref="I8:J8"/>
    <mergeCell ref="I9:J9"/>
    <mergeCell ref="A16:A18"/>
  </mergeCells>
  <hyperlinks>
    <hyperlink ref="H5" r:id="rId1" xr:uid="{00000000-0004-0000-2200-000000000000}"/>
  </hyperlinks>
  <pageMargins left="0.2" right="0.1" top="0.25" bottom="0.25" header="0.3" footer="0.3"/>
  <pageSetup paperSize="9" orientation="portrait" r:id="rId2"/>
  <drawing r:id="rId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31"/>
  <sheetViews>
    <sheetView workbookViewId="0">
      <selection activeCell="J10" sqref="J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9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569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551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570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552</v>
      </c>
      <c r="D10" s="10"/>
      <c r="E10" s="10"/>
      <c r="F10" s="10"/>
    </row>
    <row r="11" spans="1:10" x14ac:dyDescent="0.25">
      <c r="B11" t="s">
        <v>11</v>
      </c>
      <c r="C11" s="10" t="s">
        <v>553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9" t="s">
        <v>568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39" thickTop="1" x14ac:dyDescent="0.25">
      <c r="A16" s="203">
        <v>1</v>
      </c>
      <c r="B16" s="23" t="s">
        <v>554</v>
      </c>
      <c r="C16" s="24" t="s">
        <v>23</v>
      </c>
      <c r="D16" s="25">
        <v>1</v>
      </c>
      <c r="E16" s="27">
        <v>290000</v>
      </c>
      <c r="F16" s="27">
        <f>D16*E16</f>
        <v>290000</v>
      </c>
      <c r="G16" s="27">
        <f>F16*0.17</f>
        <v>49300</v>
      </c>
      <c r="H16" s="39">
        <f>E16*1.17</f>
        <v>339300</v>
      </c>
      <c r="I16" s="27">
        <f>H16*D16</f>
        <v>339300</v>
      </c>
      <c r="J16" s="28"/>
    </row>
    <row r="17" spans="1:10" s="21" customFormat="1" ht="51" x14ac:dyDescent="0.25">
      <c r="A17" s="204"/>
      <c r="B17" s="23" t="s">
        <v>555</v>
      </c>
      <c r="C17" s="24" t="s">
        <v>23</v>
      </c>
      <c r="D17" s="25">
        <v>1</v>
      </c>
      <c r="E17" s="27">
        <v>31000</v>
      </c>
      <c r="F17" s="27">
        <f>D17*E17</f>
        <v>31000</v>
      </c>
      <c r="G17" s="27">
        <f>F17*0.17</f>
        <v>5270</v>
      </c>
      <c r="H17" s="39">
        <f>E17*1.17</f>
        <v>36270</v>
      </c>
      <c r="I17" s="27">
        <f>H17*D17</f>
        <v>36270</v>
      </c>
      <c r="J17" s="28"/>
    </row>
    <row r="18" spans="1:10" s="21" customFormat="1" ht="38.25" x14ac:dyDescent="0.25">
      <c r="A18" s="205"/>
      <c r="B18" s="23" t="s">
        <v>556</v>
      </c>
      <c r="C18" s="24" t="s">
        <v>23</v>
      </c>
      <c r="D18" s="25">
        <v>1</v>
      </c>
      <c r="E18" s="26">
        <v>0</v>
      </c>
      <c r="F18" s="27">
        <f>D18*E18</f>
        <v>0</v>
      </c>
      <c r="G18" s="27">
        <f>F18*0.17</f>
        <v>0</v>
      </c>
      <c r="H18" s="39">
        <f>E18*1.17</f>
        <v>0</v>
      </c>
      <c r="I18" s="27">
        <f>H18*D18</f>
        <v>0</v>
      </c>
      <c r="J18" s="28"/>
    </row>
    <row r="19" spans="1:10" s="21" customFormat="1" ht="51" x14ac:dyDescent="0.25">
      <c r="A19" s="22">
        <v>2</v>
      </c>
      <c r="B19" s="23" t="s">
        <v>557</v>
      </c>
      <c r="C19" s="24" t="s">
        <v>23</v>
      </c>
      <c r="D19" s="25">
        <v>4</v>
      </c>
      <c r="E19" s="27">
        <v>45000</v>
      </c>
      <c r="F19" s="27">
        <f>D19*E19</f>
        <v>180000</v>
      </c>
      <c r="G19" s="27">
        <f>F19*0.17</f>
        <v>30600.000000000004</v>
      </c>
      <c r="H19" s="39">
        <f>E19*1.17</f>
        <v>52650</v>
      </c>
      <c r="I19" s="27">
        <f>H19*D19</f>
        <v>210600</v>
      </c>
      <c r="J19" s="28"/>
    </row>
    <row r="20" spans="1:10" s="21" customFormat="1" x14ac:dyDescent="0.25">
      <c r="A20" s="29"/>
      <c r="B20" s="30"/>
      <c r="C20" s="31"/>
      <c r="D20" s="25"/>
      <c r="E20" s="26"/>
      <c r="F20" s="32"/>
      <c r="G20" s="32"/>
      <c r="H20" s="26"/>
      <c r="I20" s="32"/>
      <c r="J20" s="28"/>
    </row>
    <row r="21" spans="1:10" ht="15.75" thickBot="1" x14ac:dyDescent="0.3">
      <c r="A21" s="33"/>
      <c r="B21" s="34" t="s">
        <v>24</v>
      </c>
      <c r="C21" s="35"/>
      <c r="D21" s="36">
        <f>SUM(D16:D19)</f>
        <v>7</v>
      </c>
      <c r="E21" s="35"/>
      <c r="F21" s="36">
        <f>SUM(F16:F19)</f>
        <v>501000</v>
      </c>
      <c r="G21" s="36">
        <f>SUM(G16:G19)</f>
        <v>85170</v>
      </c>
      <c r="H21" s="35"/>
      <c r="I21" s="36">
        <f>SUM(I16:I19)</f>
        <v>586170</v>
      </c>
      <c r="J21" s="37"/>
    </row>
    <row r="22" spans="1:10" ht="15.75" thickTop="1" x14ac:dyDescent="0.25">
      <c r="A22" s="33"/>
      <c r="B22" s="34" t="s">
        <v>563</v>
      </c>
      <c r="C22" s="35"/>
      <c r="D22" s="35"/>
      <c r="E22" s="35"/>
      <c r="F22" s="35"/>
      <c r="G22" s="35"/>
      <c r="H22" s="35"/>
      <c r="I22" s="35"/>
      <c r="J22" s="37"/>
    </row>
    <row r="23" spans="1:10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</row>
    <row r="24" spans="1:10" x14ac:dyDescent="0.25">
      <c r="B24" s="183" t="s">
        <v>558</v>
      </c>
      <c r="C24" s="183"/>
      <c r="D24" s="183"/>
      <c r="E24" s="183"/>
      <c r="F24" s="183"/>
      <c r="G24" s="183"/>
      <c r="H24" s="183"/>
      <c r="I24" s="183"/>
      <c r="J24" s="183"/>
    </row>
    <row r="25" spans="1:10" x14ac:dyDescent="0.25">
      <c r="B25" t="s">
        <v>559</v>
      </c>
    </row>
    <row r="26" spans="1:10" x14ac:dyDescent="0.25">
      <c r="B26" t="s">
        <v>560</v>
      </c>
    </row>
    <row r="27" spans="1:10" x14ac:dyDescent="0.25">
      <c r="B27" t="s">
        <v>561</v>
      </c>
    </row>
    <row r="28" spans="1:10" x14ac:dyDescent="0.25">
      <c r="B28" t="s">
        <v>562</v>
      </c>
    </row>
    <row r="30" spans="1:10" x14ac:dyDescent="0.25">
      <c r="B30" t="s">
        <v>28</v>
      </c>
      <c r="H30" t="s">
        <v>28</v>
      </c>
    </row>
    <row r="31" spans="1:10" x14ac:dyDescent="0.25">
      <c r="B31" t="s">
        <v>29</v>
      </c>
      <c r="H31" t="s">
        <v>30</v>
      </c>
    </row>
  </sheetData>
  <mergeCells count="6">
    <mergeCell ref="A6:J6"/>
    <mergeCell ref="I7:J7"/>
    <mergeCell ref="I8:J8"/>
    <mergeCell ref="I9:J9"/>
    <mergeCell ref="B24:J24"/>
    <mergeCell ref="A16:A18"/>
  </mergeCells>
  <hyperlinks>
    <hyperlink ref="H5" r:id="rId1" xr:uid="{00000000-0004-0000-2300-000000000000}"/>
  </hyperlinks>
  <pageMargins left="0.2" right="0.1" top="0.25" bottom="0.25" header="0.3" footer="0.3"/>
  <pageSetup paperSize="9" orientation="portrait" r:id="rId2"/>
  <drawing r:id="rId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25"/>
  <sheetViews>
    <sheetView workbookViewId="0">
      <selection activeCell="I13" sqref="I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589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549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108</v>
      </c>
      <c r="C16" s="24" t="s">
        <v>56</v>
      </c>
      <c r="D16" s="25">
        <v>20</v>
      </c>
      <c r="E16" s="26">
        <v>400</v>
      </c>
      <c r="F16" s="27">
        <f>D16*E16</f>
        <v>8000</v>
      </c>
      <c r="G16" s="27">
        <f>F16*0.17</f>
        <v>1360</v>
      </c>
      <c r="H16" s="39">
        <f>E16*1.17</f>
        <v>468</v>
      </c>
      <c r="I16" s="27">
        <f>H16*D16</f>
        <v>9360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20</v>
      </c>
      <c r="E18" s="35"/>
      <c r="F18" s="36">
        <f>SUM(F16:F16)</f>
        <v>8000</v>
      </c>
      <c r="G18" s="36">
        <f>SUM(G16:G16)</f>
        <v>1360</v>
      </c>
      <c r="H18" s="35"/>
      <c r="I18" s="36">
        <f>SUM(I16:I16)</f>
        <v>9360</v>
      </c>
      <c r="J18" s="37"/>
    </row>
    <row r="19" spans="1:10" ht="15.75" thickTop="1" x14ac:dyDescent="0.25">
      <c r="A19" s="33"/>
      <c r="B19" s="34" t="s">
        <v>550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2400-000000000000}"/>
  </hyperlinks>
  <pageMargins left="0.2" right="0.1" top="0.25" bottom="0.25" header="0.3" footer="0.3"/>
  <pageSetup paperSize="9"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EE38C-C203-4F96-BB06-4D0371A8121F}">
  <sheetPr filterMode="1"/>
  <dimension ref="A1:R47"/>
  <sheetViews>
    <sheetView topLeftCell="A7" workbookViewId="0">
      <selection activeCell="F20" sqref="F20:F3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2255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hidden="1" x14ac:dyDescent="0.25">
      <c r="A16" s="53">
        <v>1</v>
      </c>
      <c r="B16" s="78" t="s">
        <v>1486</v>
      </c>
      <c r="C16" s="53" t="s">
        <v>1506</v>
      </c>
      <c r="D16" s="79">
        <v>6</v>
      </c>
      <c r="E16" s="56">
        <v>90</v>
      </c>
      <c r="F16" s="56">
        <f t="shared" ref="F16:F37" si="0">D16*E16</f>
        <v>540</v>
      </c>
      <c r="G16" s="149">
        <f t="shared" ref="G16:G37" si="1">F16*0.17</f>
        <v>91.800000000000011</v>
      </c>
      <c r="H16" s="85">
        <f t="shared" ref="H16:H37" si="2">E16*1.17</f>
        <v>105.3</v>
      </c>
      <c r="I16" s="56">
        <f t="shared" ref="I16:I37" si="3">H16*D16</f>
        <v>631.79999999999995</v>
      </c>
      <c r="J16" s="83"/>
      <c r="N16" s="66"/>
    </row>
    <row r="17" spans="1:14" s="21" customFormat="1" ht="25.5" hidden="1" x14ac:dyDescent="0.25">
      <c r="A17" s="53">
        <v>2</v>
      </c>
      <c r="B17" s="78" t="s">
        <v>1517</v>
      </c>
      <c r="C17" s="53" t="s">
        <v>1506</v>
      </c>
      <c r="D17" s="79">
        <v>1</v>
      </c>
      <c r="E17" s="56">
        <v>250</v>
      </c>
      <c r="F17" s="56">
        <f t="shared" si="0"/>
        <v>250</v>
      </c>
      <c r="G17" s="149">
        <f t="shared" si="1"/>
        <v>42.5</v>
      </c>
      <c r="H17" s="85">
        <f t="shared" si="2"/>
        <v>292.5</v>
      </c>
      <c r="I17" s="56">
        <f t="shared" si="3"/>
        <v>292.5</v>
      </c>
      <c r="J17" s="83"/>
      <c r="N17" s="66"/>
    </row>
    <row r="18" spans="1:14" s="21" customFormat="1" ht="25.5" hidden="1" x14ac:dyDescent="0.25">
      <c r="A18" s="53">
        <v>3</v>
      </c>
      <c r="B18" s="78" t="s">
        <v>1537</v>
      </c>
      <c r="C18" s="53" t="s">
        <v>1505</v>
      </c>
      <c r="D18" s="79">
        <v>6</v>
      </c>
      <c r="E18" s="56">
        <v>25</v>
      </c>
      <c r="F18" s="56">
        <f t="shared" si="0"/>
        <v>150</v>
      </c>
      <c r="G18" s="149">
        <f t="shared" si="1"/>
        <v>25.500000000000004</v>
      </c>
      <c r="H18" s="85">
        <f t="shared" si="2"/>
        <v>29.25</v>
      </c>
      <c r="I18" s="56">
        <f t="shared" si="3"/>
        <v>175.5</v>
      </c>
      <c r="J18" s="83"/>
      <c r="N18" s="66"/>
    </row>
    <row r="19" spans="1:14" s="21" customFormat="1" ht="15.75" hidden="1" x14ac:dyDescent="0.25">
      <c r="A19" s="53">
        <v>4</v>
      </c>
      <c r="B19" s="78" t="s">
        <v>1487</v>
      </c>
      <c r="C19" s="53" t="s">
        <v>1506</v>
      </c>
      <c r="D19" s="79">
        <v>3</v>
      </c>
      <c r="E19" s="56">
        <v>155</v>
      </c>
      <c r="F19" s="56">
        <f t="shared" si="0"/>
        <v>465</v>
      </c>
      <c r="G19" s="149">
        <f t="shared" si="1"/>
        <v>79.050000000000011</v>
      </c>
      <c r="H19" s="85">
        <f t="shared" si="2"/>
        <v>181.35</v>
      </c>
      <c r="I19" s="56">
        <f t="shared" si="3"/>
        <v>544.04999999999995</v>
      </c>
      <c r="J19" s="83"/>
      <c r="N19" s="66"/>
    </row>
    <row r="20" spans="1:14" s="21" customFormat="1" ht="25.5" x14ac:dyDescent="0.25">
      <c r="A20" s="53">
        <v>5</v>
      </c>
      <c r="B20" s="78" t="s">
        <v>1488</v>
      </c>
      <c r="C20" s="53" t="s">
        <v>1505</v>
      </c>
      <c r="D20" s="79">
        <v>2</v>
      </c>
      <c r="E20" s="56">
        <v>25</v>
      </c>
      <c r="F20" s="56">
        <f t="shared" si="0"/>
        <v>50</v>
      </c>
      <c r="G20" s="149">
        <f t="shared" ref="G20:G23" si="4">F20*0</f>
        <v>0</v>
      </c>
      <c r="H20" s="85">
        <f t="shared" ref="H20:H23" si="5">E20*1</f>
        <v>25</v>
      </c>
      <c r="I20" s="56">
        <f t="shared" si="3"/>
        <v>50</v>
      </c>
      <c r="J20" s="83"/>
      <c r="N20" s="66"/>
    </row>
    <row r="21" spans="1:14" s="21" customFormat="1" ht="25.5" x14ac:dyDescent="0.25">
      <c r="A21" s="53">
        <v>6</v>
      </c>
      <c r="B21" s="78" t="s">
        <v>1520</v>
      </c>
      <c r="C21" s="53" t="s">
        <v>1505</v>
      </c>
      <c r="D21" s="79">
        <v>2</v>
      </c>
      <c r="E21" s="56">
        <v>25</v>
      </c>
      <c r="F21" s="56">
        <f t="shared" si="0"/>
        <v>50</v>
      </c>
      <c r="G21" s="149">
        <f t="shared" si="4"/>
        <v>0</v>
      </c>
      <c r="H21" s="85">
        <f t="shared" si="5"/>
        <v>25</v>
      </c>
      <c r="I21" s="56">
        <f t="shared" si="3"/>
        <v>50</v>
      </c>
      <c r="J21" s="83"/>
      <c r="N21" s="66"/>
    </row>
    <row r="22" spans="1:14" s="21" customFormat="1" ht="25.5" x14ac:dyDescent="0.25">
      <c r="A22" s="53">
        <v>7</v>
      </c>
      <c r="B22" s="78" t="s">
        <v>1521</v>
      </c>
      <c r="C22" s="53" t="s">
        <v>1505</v>
      </c>
      <c r="D22" s="79">
        <v>2</v>
      </c>
      <c r="E22" s="56">
        <v>25</v>
      </c>
      <c r="F22" s="56">
        <f t="shared" si="0"/>
        <v>50</v>
      </c>
      <c r="G22" s="149">
        <f t="shared" si="4"/>
        <v>0</v>
      </c>
      <c r="H22" s="85">
        <f t="shared" si="5"/>
        <v>25</v>
      </c>
      <c r="I22" s="56">
        <f t="shared" si="3"/>
        <v>50</v>
      </c>
      <c r="J22" s="83"/>
      <c r="N22" s="66"/>
    </row>
    <row r="23" spans="1:14" s="21" customFormat="1" ht="25.5" x14ac:dyDescent="0.25">
      <c r="A23" s="53">
        <v>8</v>
      </c>
      <c r="B23" s="78" t="s">
        <v>1513</v>
      </c>
      <c r="C23" s="53" t="s">
        <v>1505</v>
      </c>
      <c r="D23" s="79">
        <v>1</v>
      </c>
      <c r="E23" s="56">
        <v>75</v>
      </c>
      <c r="F23" s="56">
        <f t="shared" si="0"/>
        <v>75</v>
      </c>
      <c r="G23" s="149">
        <f t="shared" si="4"/>
        <v>0</v>
      </c>
      <c r="H23" s="85">
        <f t="shared" si="5"/>
        <v>75</v>
      </c>
      <c r="I23" s="56">
        <f t="shared" si="3"/>
        <v>75</v>
      </c>
      <c r="J23" s="83"/>
      <c r="N23" s="66"/>
    </row>
    <row r="24" spans="1:14" s="21" customFormat="1" ht="15.75" hidden="1" x14ac:dyDescent="0.25">
      <c r="A24" s="53">
        <v>9</v>
      </c>
      <c r="B24" s="78" t="s">
        <v>1489</v>
      </c>
      <c r="C24" s="53" t="s">
        <v>1506</v>
      </c>
      <c r="D24" s="79">
        <v>1</v>
      </c>
      <c r="E24" s="56">
        <v>12</v>
      </c>
      <c r="F24" s="56">
        <f t="shared" si="0"/>
        <v>12</v>
      </c>
      <c r="G24" s="149">
        <f t="shared" si="1"/>
        <v>2.04</v>
      </c>
      <c r="H24" s="85">
        <f t="shared" si="2"/>
        <v>14.04</v>
      </c>
      <c r="I24" s="56">
        <f t="shared" si="3"/>
        <v>14.04</v>
      </c>
      <c r="J24" s="83"/>
      <c r="N24" s="66"/>
    </row>
    <row r="25" spans="1:14" s="21" customFormat="1" ht="15.75" hidden="1" x14ac:dyDescent="0.25">
      <c r="A25" s="53">
        <v>10</v>
      </c>
      <c r="B25" s="78" t="s">
        <v>1527</v>
      </c>
      <c r="C25" s="53" t="s">
        <v>23</v>
      </c>
      <c r="D25" s="79">
        <v>6</v>
      </c>
      <c r="E25" s="56">
        <v>28</v>
      </c>
      <c r="F25" s="56">
        <f t="shared" si="0"/>
        <v>168</v>
      </c>
      <c r="G25" s="149">
        <f t="shared" si="1"/>
        <v>28.560000000000002</v>
      </c>
      <c r="H25" s="85">
        <f t="shared" si="2"/>
        <v>32.76</v>
      </c>
      <c r="I25" s="56">
        <f t="shared" si="3"/>
        <v>196.56</v>
      </c>
      <c r="J25" s="83"/>
      <c r="N25" s="66"/>
    </row>
    <row r="26" spans="1:14" s="21" customFormat="1" ht="25.5" hidden="1" x14ac:dyDescent="0.25">
      <c r="A26" s="53">
        <v>11</v>
      </c>
      <c r="B26" s="78" t="s">
        <v>1490</v>
      </c>
      <c r="C26" s="53" t="s">
        <v>1505</v>
      </c>
      <c r="D26" s="79">
        <v>6</v>
      </c>
      <c r="E26" s="56">
        <v>40</v>
      </c>
      <c r="F26" s="56">
        <f t="shared" si="0"/>
        <v>240</v>
      </c>
      <c r="G26" s="149">
        <f t="shared" si="1"/>
        <v>40.800000000000004</v>
      </c>
      <c r="H26" s="85">
        <f t="shared" si="2"/>
        <v>46.8</v>
      </c>
      <c r="I26" s="56">
        <f t="shared" si="3"/>
        <v>280.79999999999995</v>
      </c>
      <c r="J26" s="83"/>
      <c r="N26" s="66"/>
    </row>
    <row r="27" spans="1:14" s="21" customFormat="1" ht="15.75" x14ac:dyDescent="0.25">
      <c r="A27" s="53">
        <v>12</v>
      </c>
      <c r="B27" s="78" t="s">
        <v>1529</v>
      </c>
      <c r="C27" s="53" t="s">
        <v>23</v>
      </c>
      <c r="D27" s="79">
        <v>6</v>
      </c>
      <c r="E27" s="56">
        <v>28</v>
      </c>
      <c r="F27" s="56">
        <f t="shared" si="0"/>
        <v>168</v>
      </c>
      <c r="G27" s="149">
        <f>F27*0</f>
        <v>0</v>
      </c>
      <c r="H27" s="85">
        <f>E27*1</f>
        <v>28</v>
      </c>
      <c r="I27" s="56">
        <f t="shared" si="3"/>
        <v>168</v>
      </c>
      <c r="J27" s="83"/>
      <c r="N27" s="66"/>
    </row>
    <row r="28" spans="1:14" s="21" customFormat="1" ht="25.5" hidden="1" x14ac:dyDescent="0.25">
      <c r="A28" s="53">
        <v>13</v>
      </c>
      <c r="B28" s="78" t="s">
        <v>1492</v>
      </c>
      <c r="C28" s="53" t="s">
        <v>1506</v>
      </c>
      <c r="D28" s="79">
        <v>2</v>
      </c>
      <c r="E28" s="56">
        <v>140</v>
      </c>
      <c r="F28" s="56">
        <f t="shared" si="0"/>
        <v>280</v>
      </c>
      <c r="G28" s="149">
        <f t="shared" si="1"/>
        <v>47.6</v>
      </c>
      <c r="H28" s="85">
        <f t="shared" si="2"/>
        <v>163.79999999999998</v>
      </c>
      <c r="I28" s="56">
        <f t="shared" si="3"/>
        <v>327.59999999999997</v>
      </c>
      <c r="J28" s="83"/>
      <c r="N28" s="66"/>
    </row>
    <row r="29" spans="1:14" s="21" customFormat="1" ht="15.75" x14ac:dyDescent="0.25">
      <c r="A29" s="53">
        <v>14</v>
      </c>
      <c r="B29" s="78" t="s">
        <v>1501</v>
      </c>
      <c r="C29" s="53" t="s">
        <v>1506</v>
      </c>
      <c r="D29" s="79">
        <v>2</v>
      </c>
      <c r="E29" s="56">
        <v>28</v>
      </c>
      <c r="F29" s="56">
        <f t="shared" si="0"/>
        <v>56</v>
      </c>
      <c r="G29" s="149">
        <f>F29*0</f>
        <v>0</v>
      </c>
      <c r="H29" s="85">
        <f>E29*1</f>
        <v>28</v>
      </c>
      <c r="I29" s="56">
        <f t="shared" si="3"/>
        <v>56</v>
      </c>
      <c r="J29" s="83"/>
      <c r="N29" s="66"/>
    </row>
    <row r="30" spans="1:14" s="21" customFormat="1" ht="25.5" hidden="1" x14ac:dyDescent="0.25">
      <c r="A30" s="53">
        <v>15</v>
      </c>
      <c r="B30" s="78" t="s">
        <v>1518</v>
      </c>
      <c r="C30" s="53" t="s">
        <v>1505</v>
      </c>
      <c r="D30" s="79">
        <v>3</v>
      </c>
      <c r="E30" s="56">
        <v>25</v>
      </c>
      <c r="F30" s="56">
        <f t="shared" si="0"/>
        <v>75</v>
      </c>
      <c r="G30" s="149">
        <f t="shared" si="1"/>
        <v>12.750000000000002</v>
      </c>
      <c r="H30" s="85">
        <f t="shared" si="2"/>
        <v>29.25</v>
      </c>
      <c r="I30" s="56">
        <f t="shared" si="3"/>
        <v>87.75</v>
      </c>
      <c r="J30" s="83"/>
      <c r="N30" s="66"/>
    </row>
    <row r="31" spans="1:14" s="21" customFormat="1" ht="15.75" x14ac:dyDescent="0.25">
      <c r="A31" s="53">
        <v>16</v>
      </c>
      <c r="B31" s="78" t="s">
        <v>1502</v>
      </c>
      <c r="C31" s="53" t="s">
        <v>1506</v>
      </c>
      <c r="D31" s="79">
        <v>2</v>
      </c>
      <c r="E31" s="56">
        <v>7</v>
      </c>
      <c r="F31" s="56">
        <f t="shared" si="0"/>
        <v>14</v>
      </c>
      <c r="G31" s="149">
        <f>F31*0</f>
        <v>0</v>
      </c>
      <c r="H31" s="85">
        <f>E31*1</f>
        <v>7</v>
      </c>
      <c r="I31" s="56">
        <f t="shared" si="3"/>
        <v>14</v>
      </c>
      <c r="J31" s="83"/>
      <c r="N31" s="66"/>
    </row>
    <row r="32" spans="1:14" s="21" customFormat="1" ht="15.75" hidden="1" x14ac:dyDescent="0.25">
      <c r="A32" s="53">
        <v>17</v>
      </c>
      <c r="B32" s="78" t="s">
        <v>1948</v>
      </c>
      <c r="C32" s="53" t="s">
        <v>1506</v>
      </c>
      <c r="D32" s="79">
        <v>1</v>
      </c>
      <c r="E32" s="56">
        <v>38</v>
      </c>
      <c r="F32" s="56">
        <f t="shared" si="0"/>
        <v>38</v>
      </c>
      <c r="G32" s="149">
        <f t="shared" si="1"/>
        <v>6.4600000000000009</v>
      </c>
      <c r="H32" s="85">
        <f t="shared" si="2"/>
        <v>44.459999999999994</v>
      </c>
      <c r="I32" s="56">
        <f t="shared" si="3"/>
        <v>44.459999999999994</v>
      </c>
      <c r="J32" s="83"/>
      <c r="N32" s="66"/>
    </row>
    <row r="33" spans="1:18" s="21" customFormat="1" ht="15.75" hidden="1" x14ac:dyDescent="0.25">
      <c r="A33" s="53">
        <v>18</v>
      </c>
      <c r="B33" s="78" t="s">
        <v>1536</v>
      </c>
      <c r="C33" s="53" t="s">
        <v>1506</v>
      </c>
      <c r="D33" s="79">
        <v>6</v>
      </c>
      <c r="E33" s="56">
        <v>25</v>
      </c>
      <c r="F33" s="56">
        <f t="shared" si="0"/>
        <v>150</v>
      </c>
      <c r="G33" s="149">
        <f t="shared" si="1"/>
        <v>25.500000000000004</v>
      </c>
      <c r="H33" s="85">
        <f t="shared" si="2"/>
        <v>29.25</v>
      </c>
      <c r="I33" s="56">
        <f t="shared" si="3"/>
        <v>175.5</v>
      </c>
      <c r="J33" s="83"/>
      <c r="N33" s="66"/>
    </row>
    <row r="34" spans="1:18" s="21" customFormat="1" ht="15.75" hidden="1" x14ac:dyDescent="0.25">
      <c r="A34" s="53">
        <v>19</v>
      </c>
      <c r="B34" s="78" t="s">
        <v>2244</v>
      </c>
      <c r="C34" s="53" t="s">
        <v>1506</v>
      </c>
      <c r="D34" s="79">
        <v>3</v>
      </c>
      <c r="E34" s="56">
        <v>18</v>
      </c>
      <c r="F34" s="56">
        <f t="shared" si="0"/>
        <v>54</v>
      </c>
      <c r="G34" s="149">
        <f t="shared" si="1"/>
        <v>9.1800000000000015</v>
      </c>
      <c r="H34" s="85">
        <f t="shared" si="2"/>
        <v>21.06</v>
      </c>
      <c r="I34" s="56">
        <f t="shared" si="3"/>
        <v>63.179999999999993</v>
      </c>
      <c r="J34" s="83"/>
      <c r="N34" s="66"/>
    </row>
    <row r="35" spans="1:18" s="21" customFormat="1" ht="15.75" hidden="1" x14ac:dyDescent="0.25">
      <c r="A35" s="53">
        <v>20</v>
      </c>
      <c r="B35" s="78" t="s">
        <v>1497</v>
      </c>
      <c r="C35" s="53" t="s">
        <v>1506</v>
      </c>
      <c r="D35" s="79">
        <v>2</v>
      </c>
      <c r="E35" s="56">
        <v>28</v>
      </c>
      <c r="F35" s="56">
        <f t="shared" si="0"/>
        <v>56</v>
      </c>
      <c r="G35" s="149">
        <f t="shared" si="1"/>
        <v>9.5200000000000014</v>
      </c>
      <c r="H35" s="85">
        <f t="shared" si="2"/>
        <v>32.76</v>
      </c>
      <c r="I35" s="56">
        <f t="shared" si="3"/>
        <v>65.52</v>
      </c>
      <c r="J35" s="83"/>
      <c r="N35" s="66"/>
    </row>
    <row r="36" spans="1:18" s="21" customFormat="1" ht="15.75" hidden="1" x14ac:dyDescent="0.25">
      <c r="A36" s="53">
        <v>21</v>
      </c>
      <c r="B36" s="78" t="s">
        <v>1530</v>
      </c>
      <c r="C36" s="53" t="s">
        <v>1506</v>
      </c>
      <c r="D36" s="79">
        <v>1</v>
      </c>
      <c r="E36" s="56">
        <v>135</v>
      </c>
      <c r="F36" s="56">
        <f t="shared" si="0"/>
        <v>135</v>
      </c>
      <c r="G36" s="149">
        <f t="shared" si="1"/>
        <v>22.950000000000003</v>
      </c>
      <c r="H36" s="85">
        <f t="shared" si="2"/>
        <v>157.94999999999999</v>
      </c>
      <c r="I36" s="56">
        <f t="shared" si="3"/>
        <v>157.94999999999999</v>
      </c>
      <c r="J36" s="83"/>
      <c r="N36" s="66"/>
    </row>
    <row r="37" spans="1:18" s="21" customFormat="1" ht="15.75" hidden="1" x14ac:dyDescent="0.25">
      <c r="A37" s="53">
        <v>22</v>
      </c>
      <c r="B37" s="78" t="s">
        <v>1504</v>
      </c>
      <c r="C37" s="53" t="s">
        <v>1506</v>
      </c>
      <c r="D37" s="79">
        <v>12</v>
      </c>
      <c r="E37" s="56">
        <v>20</v>
      </c>
      <c r="F37" s="56">
        <f t="shared" si="0"/>
        <v>240</v>
      </c>
      <c r="G37" s="149">
        <f t="shared" si="1"/>
        <v>40.800000000000004</v>
      </c>
      <c r="H37" s="85">
        <f t="shared" si="2"/>
        <v>23.4</v>
      </c>
      <c r="I37" s="56">
        <f t="shared" si="3"/>
        <v>280.79999999999995</v>
      </c>
      <c r="J37" s="83"/>
      <c r="N37" s="66"/>
    </row>
    <row r="38" spans="1:18" s="21" customFormat="1" ht="15.75" hidden="1" x14ac:dyDescent="0.25">
      <c r="A38" s="53"/>
      <c r="B38" s="78"/>
      <c r="C38" s="53"/>
      <c r="D38" s="79"/>
      <c r="E38" s="56"/>
      <c r="F38" s="56"/>
      <c r="G38" s="149"/>
      <c r="H38" s="85"/>
      <c r="I38" s="56"/>
      <c r="J38" s="83"/>
      <c r="N38" s="66"/>
    </row>
    <row r="39" spans="1:18" ht="15.75" hidden="1" thickBot="1" x14ac:dyDescent="0.3">
      <c r="A39" s="33"/>
      <c r="B39" s="34" t="s">
        <v>24</v>
      </c>
      <c r="C39" s="35"/>
      <c r="D39" s="62">
        <f>SUM(D16:D38)</f>
        <v>76</v>
      </c>
      <c r="E39" s="35"/>
      <c r="F39" s="62">
        <f>SUM(F16:F38)</f>
        <v>3316</v>
      </c>
      <c r="G39" s="62">
        <f>SUM(G16:G38)</f>
        <v>485.01000000000005</v>
      </c>
      <c r="H39" s="35"/>
      <c r="I39" s="62">
        <f>SUM(I16:I38)</f>
        <v>3801.0099999999993</v>
      </c>
      <c r="J39" s="37"/>
    </row>
    <row r="40" spans="1:18" hidden="1" x14ac:dyDescent="0.25">
      <c r="A40" s="33"/>
      <c r="B40" s="34" t="s">
        <v>2256</v>
      </c>
      <c r="C40" s="35"/>
      <c r="D40" s="35"/>
      <c r="E40" s="35"/>
      <c r="F40" s="35"/>
      <c r="G40" s="35"/>
      <c r="H40" s="35"/>
      <c r="I40" s="35"/>
      <c r="J40" s="37"/>
    </row>
    <row r="41" spans="1:18" hidden="1" x14ac:dyDescent="0.25">
      <c r="A41" s="33"/>
      <c r="B41" s="38" t="s">
        <v>25</v>
      </c>
      <c r="C41" s="35"/>
      <c r="D41" s="35"/>
      <c r="E41" s="35"/>
      <c r="F41" s="35"/>
      <c r="G41" s="35"/>
      <c r="H41" s="35"/>
      <c r="I41" s="35"/>
      <c r="J41" s="37"/>
      <c r="M41" s="64"/>
      <c r="O41" s="65"/>
      <c r="P41" s="64"/>
      <c r="Q41" s="64"/>
      <c r="R41" s="64"/>
    </row>
    <row r="42" spans="1:18" ht="30" hidden="1" customHeight="1" x14ac:dyDescent="0.25">
      <c r="B42" s="183" t="s">
        <v>26</v>
      </c>
      <c r="C42" s="183"/>
      <c r="D42" s="183"/>
      <c r="E42" s="183"/>
      <c r="F42" s="183"/>
      <c r="G42" s="183"/>
      <c r="H42" s="183"/>
      <c r="I42" s="183"/>
      <c r="J42" s="183"/>
      <c r="P42" s="64"/>
      <c r="R42" s="65"/>
    </row>
    <row r="43" spans="1:18" hidden="1" x14ac:dyDescent="0.25">
      <c r="B43" t="s">
        <v>634</v>
      </c>
    </row>
    <row r="46" spans="1:18" x14ac:dyDescent="0.25">
      <c r="B46" t="s">
        <v>28</v>
      </c>
      <c r="H46" t="s">
        <v>28</v>
      </c>
    </row>
    <row r="47" spans="1:18" x14ac:dyDescent="0.25">
      <c r="B47" t="s">
        <v>29</v>
      </c>
      <c r="H47" t="s">
        <v>30</v>
      </c>
    </row>
  </sheetData>
  <autoFilter ref="A15:J43" xr:uid="{00000000-0009-0000-0000-000000000000}">
    <filterColumn colId="6">
      <filters>
        <filter val="-"/>
      </filters>
    </filterColumn>
  </autoFilter>
  <mergeCells count="5">
    <mergeCell ref="A6:J6"/>
    <mergeCell ref="I7:J7"/>
    <mergeCell ref="I8:J8"/>
    <mergeCell ref="I9:J9"/>
    <mergeCell ref="B42:J42"/>
  </mergeCells>
  <hyperlinks>
    <hyperlink ref="H5" r:id="rId1" xr:uid="{E43FA5F3-07DF-466F-A085-16431E87247B}"/>
  </hyperlinks>
  <pageMargins left="0.2" right="0.1" top="0.25" bottom="0.25" header="0.3" footer="0.3"/>
  <pageSetup paperSize="9" orientation="portrait" r:id="rId2"/>
  <drawing r:id="rId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J32"/>
  <sheetViews>
    <sheetView workbookViewId="0">
      <selection activeCell="B10" sqref="B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491</v>
      </c>
    </row>
    <row r="3" spans="1:10" x14ac:dyDescent="0.25">
      <c r="D3" s="2"/>
      <c r="E3" s="2"/>
      <c r="F3" s="2"/>
      <c r="H3" s="2" t="s">
        <v>492</v>
      </c>
    </row>
    <row r="4" spans="1:10" x14ac:dyDescent="0.25">
      <c r="D4" s="2"/>
      <c r="E4" s="2"/>
      <c r="F4" s="2"/>
      <c r="H4" s="2" t="s">
        <v>493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548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537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538</v>
      </c>
      <c r="J9" s="186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539</v>
      </c>
      <c r="C16" s="43" t="s">
        <v>23</v>
      </c>
      <c r="D16" s="43">
        <v>10</v>
      </c>
      <c r="E16" s="26">
        <v>1850</v>
      </c>
      <c r="F16" s="27">
        <f>D16*E16</f>
        <v>18500</v>
      </c>
      <c r="G16" s="27">
        <f>F16*0.17</f>
        <v>3145</v>
      </c>
      <c r="H16" s="39">
        <f>E16*1.17</f>
        <v>2164.5</v>
      </c>
      <c r="I16" s="27">
        <f>H16*D16</f>
        <v>21645</v>
      </c>
      <c r="J16" s="28"/>
    </row>
    <row r="17" spans="1:10" s="21" customFormat="1" ht="25.5" x14ac:dyDescent="0.25">
      <c r="A17" s="22">
        <v>2</v>
      </c>
      <c r="B17" s="23" t="s">
        <v>540</v>
      </c>
      <c r="C17" s="43" t="s">
        <v>23</v>
      </c>
      <c r="D17" s="43">
        <v>10</v>
      </c>
      <c r="E17" s="26">
        <v>2900</v>
      </c>
      <c r="F17" s="27">
        <f t="shared" ref="F17:F19" si="0">D17*E17</f>
        <v>29000</v>
      </c>
      <c r="G17" s="27">
        <f>F17*0.17</f>
        <v>4930</v>
      </c>
      <c r="H17" s="39">
        <f>E17*1.17</f>
        <v>3393</v>
      </c>
      <c r="I17" s="27">
        <f t="shared" ref="I17:I19" si="1">H17*D17</f>
        <v>33930</v>
      </c>
      <c r="J17" s="28"/>
    </row>
    <row r="18" spans="1:10" s="21" customFormat="1" ht="25.5" x14ac:dyDescent="0.25">
      <c r="A18" s="22">
        <v>3</v>
      </c>
      <c r="B18" s="23" t="s">
        <v>541</v>
      </c>
      <c r="C18" s="43" t="s">
        <v>23</v>
      </c>
      <c r="D18" s="43">
        <v>100</v>
      </c>
      <c r="E18" s="26">
        <v>340</v>
      </c>
      <c r="F18" s="27">
        <f t="shared" si="0"/>
        <v>34000</v>
      </c>
      <c r="G18" s="27">
        <f>F18*0.17</f>
        <v>5780</v>
      </c>
      <c r="H18" s="39">
        <f>E18*1.17</f>
        <v>397.79999999999995</v>
      </c>
      <c r="I18" s="27">
        <f t="shared" si="1"/>
        <v>39779.999999999993</v>
      </c>
      <c r="J18" s="28"/>
    </row>
    <row r="19" spans="1:10" s="21" customFormat="1" ht="25.5" x14ac:dyDescent="0.25">
      <c r="A19" s="22">
        <v>4</v>
      </c>
      <c r="B19" s="23" t="s">
        <v>542</v>
      </c>
      <c r="C19" s="43" t="s">
        <v>23</v>
      </c>
      <c r="D19" s="43">
        <v>150</v>
      </c>
      <c r="E19" s="26">
        <v>350</v>
      </c>
      <c r="F19" s="27">
        <f t="shared" si="0"/>
        <v>52500</v>
      </c>
      <c r="G19" s="27">
        <f>F19*0.17</f>
        <v>8925</v>
      </c>
      <c r="H19" s="39">
        <f>E19*1.17</f>
        <v>409.5</v>
      </c>
      <c r="I19" s="27">
        <f t="shared" si="1"/>
        <v>61425</v>
      </c>
      <c r="J19" s="28"/>
    </row>
    <row r="20" spans="1:10" s="21" customFormat="1" x14ac:dyDescent="0.25">
      <c r="A20" s="22">
        <v>5</v>
      </c>
      <c r="B20" s="23" t="s">
        <v>543</v>
      </c>
      <c r="C20" s="43" t="s">
        <v>23</v>
      </c>
      <c r="D20" s="43">
        <v>500</v>
      </c>
      <c r="E20" s="26">
        <v>25</v>
      </c>
      <c r="F20" s="27">
        <f>D20*E20</f>
        <v>12500</v>
      </c>
      <c r="G20" s="27">
        <f>F20*0</f>
        <v>0</v>
      </c>
      <c r="H20" s="39">
        <f>E20*1</f>
        <v>25</v>
      </c>
      <c r="I20" s="27">
        <f t="shared" ref="I20" si="2">H20*D20</f>
        <v>12500</v>
      </c>
      <c r="J20" s="28"/>
    </row>
    <row r="21" spans="1:10" s="21" customFormat="1" x14ac:dyDescent="0.25">
      <c r="A21" s="22">
        <v>6</v>
      </c>
      <c r="B21" s="23" t="s">
        <v>544</v>
      </c>
      <c r="C21" s="43" t="s">
        <v>23</v>
      </c>
      <c r="D21" s="43">
        <v>500</v>
      </c>
      <c r="E21" s="26">
        <v>24</v>
      </c>
      <c r="F21" s="27">
        <f>D21*E21</f>
        <v>12000</v>
      </c>
      <c r="G21" s="27">
        <f>F21*0.17</f>
        <v>2040.0000000000002</v>
      </c>
      <c r="H21" s="39">
        <f>E21*1.17</f>
        <v>28.08</v>
      </c>
      <c r="I21" s="27">
        <f t="shared" ref="I21" si="3">H21*D21</f>
        <v>14040</v>
      </c>
      <c r="J21" s="28"/>
    </row>
    <row r="22" spans="1:10" s="21" customFormat="1" x14ac:dyDescent="0.25">
      <c r="A22" s="22">
        <v>7</v>
      </c>
      <c r="B22" s="23" t="s">
        <v>545</v>
      </c>
      <c r="C22" s="43" t="s">
        <v>23</v>
      </c>
      <c r="D22" s="43">
        <v>500</v>
      </c>
      <c r="E22" s="26">
        <v>45</v>
      </c>
      <c r="F22" s="27">
        <f>D22*E22</f>
        <v>22500</v>
      </c>
      <c r="G22" s="27">
        <f>F22*0.17</f>
        <v>3825.0000000000005</v>
      </c>
      <c r="H22" s="39">
        <f>E22*1.17</f>
        <v>52.65</v>
      </c>
      <c r="I22" s="27">
        <f t="shared" ref="I22" si="4">H22*D22</f>
        <v>26325</v>
      </c>
      <c r="J22" s="28"/>
    </row>
    <row r="23" spans="1:10" s="21" customFormat="1" x14ac:dyDescent="0.25">
      <c r="A23" s="22">
        <v>8</v>
      </c>
      <c r="B23" s="23" t="s">
        <v>546</v>
      </c>
      <c r="C23" s="43" t="s">
        <v>23</v>
      </c>
      <c r="D23" s="43">
        <v>50</v>
      </c>
      <c r="E23" s="26">
        <v>300</v>
      </c>
      <c r="F23" s="27">
        <f>D23*E23</f>
        <v>15000</v>
      </c>
      <c r="G23" s="27">
        <f>F23*0.17</f>
        <v>2550</v>
      </c>
      <c r="H23" s="39">
        <f>E23*1.17</f>
        <v>351</v>
      </c>
      <c r="I23" s="27">
        <f t="shared" ref="I23" si="5">H23*D23</f>
        <v>17550</v>
      </c>
      <c r="J23" s="28"/>
    </row>
    <row r="24" spans="1:10" s="21" customFormat="1" x14ac:dyDescent="0.25">
      <c r="A24" s="29"/>
      <c r="B24" s="30"/>
      <c r="C24" s="31"/>
      <c r="D24" s="25"/>
      <c r="E24" s="26"/>
      <c r="F24" s="32"/>
      <c r="G24" s="32"/>
      <c r="H24" s="26"/>
      <c r="I24" s="32"/>
      <c r="J24" s="28"/>
    </row>
    <row r="25" spans="1:10" ht="15.75" thickBot="1" x14ac:dyDescent="0.3">
      <c r="A25" s="33"/>
      <c r="B25" s="34" t="s">
        <v>24</v>
      </c>
      <c r="C25" s="35"/>
      <c r="D25" s="36">
        <f>SUM(D16:D23)</f>
        <v>1820</v>
      </c>
      <c r="E25" s="35"/>
      <c r="F25" s="36">
        <f>SUM(F16:F23)</f>
        <v>196000</v>
      </c>
      <c r="G25" s="36">
        <f>SUM(G16:G23)</f>
        <v>31195</v>
      </c>
      <c r="H25" s="35"/>
      <c r="I25" s="36">
        <f>SUM(I16:I23)</f>
        <v>227195</v>
      </c>
      <c r="J25" s="37"/>
    </row>
    <row r="26" spans="1:10" ht="15.75" thickTop="1" x14ac:dyDescent="0.25">
      <c r="A26" s="33"/>
      <c r="B26" s="34" t="s">
        <v>547</v>
      </c>
      <c r="C26" s="35"/>
      <c r="D26" s="35"/>
      <c r="E26" s="35"/>
      <c r="F26" s="35"/>
      <c r="G26" s="35"/>
      <c r="H26" s="35"/>
      <c r="I26" s="35"/>
      <c r="J26" s="37"/>
    </row>
    <row r="27" spans="1:10" x14ac:dyDescent="0.25">
      <c r="A27" s="33"/>
      <c r="B27" s="38" t="s">
        <v>25</v>
      </c>
      <c r="C27" s="35"/>
      <c r="D27" s="35"/>
      <c r="E27" s="35"/>
      <c r="F27" s="35"/>
      <c r="G27" s="35"/>
      <c r="H27" s="35"/>
      <c r="I27" s="35"/>
      <c r="J27" s="37"/>
    </row>
    <row r="28" spans="1:10" ht="30" customHeight="1" x14ac:dyDescent="0.25">
      <c r="B28" s="183" t="s">
        <v>26</v>
      </c>
      <c r="C28" s="183"/>
      <c r="D28" s="183"/>
      <c r="E28" s="183"/>
      <c r="F28" s="183"/>
      <c r="G28" s="183"/>
      <c r="H28" s="183"/>
      <c r="I28" s="183"/>
      <c r="J28" s="183"/>
    </row>
    <row r="29" spans="1:10" x14ac:dyDescent="0.25">
      <c r="B29" t="s">
        <v>27</v>
      </c>
    </row>
    <row r="31" spans="1:10" x14ac:dyDescent="0.25">
      <c r="B31" t="s">
        <v>28</v>
      </c>
      <c r="H31" t="s">
        <v>28</v>
      </c>
    </row>
    <row r="32" spans="1:10" x14ac:dyDescent="0.25">
      <c r="B32" t="s">
        <v>29</v>
      </c>
      <c r="H32" t="s">
        <v>30</v>
      </c>
    </row>
  </sheetData>
  <mergeCells count="5">
    <mergeCell ref="A6:J6"/>
    <mergeCell ref="I7:J7"/>
    <mergeCell ref="I8:J8"/>
    <mergeCell ref="I9:J9"/>
    <mergeCell ref="B28:J28"/>
  </mergeCells>
  <hyperlinks>
    <hyperlink ref="H5" r:id="rId1" xr:uid="{00000000-0004-0000-2500-000000000000}"/>
  </hyperlinks>
  <pageMargins left="0.2" right="0.1" top="0.25" bottom="0.25" header="0.3" footer="0.3"/>
  <pageSetup paperSize="9" orientation="portrait" r:id="rId2"/>
  <drawing r:id="rId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J54"/>
  <sheetViews>
    <sheetView workbookViewId="0">
      <selection activeCell="A6" sqref="A6:J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511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510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375</v>
      </c>
      <c r="C16" s="24" t="s">
        <v>76</v>
      </c>
      <c r="D16" s="25">
        <v>12</v>
      </c>
      <c r="E16" s="26">
        <v>70</v>
      </c>
      <c r="F16" s="27">
        <f t="shared" ref="F16:F45" si="0">D16*E16</f>
        <v>840</v>
      </c>
      <c r="G16" s="27">
        <f>F16*0</f>
        <v>0</v>
      </c>
      <c r="H16" s="39">
        <f>E16*1</f>
        <v>70</v>
      </c>
      <c r="I16" s="27">
        <f t="shared" ref="I16:I45" si="1">H16*D16</f>
        <v>840</v>
      </c>
      <c r="J16" s="28"/>
    </row>
    <row r="17" spans="1:10" s="21" customFormat="1" x14ac:dyDescent="0.25">
      <c r="A17" s="22">
        <f>A16+1</f>
        <v>2</v>
      </c>
      <c r="B17" s="23" t="s">
        <v>376</v>
      </c>
      <c r="C17" s="24" t="s">
        <v>76</v>
      </c>
      <c r="D17" s="25">
        <v>5</v>
      </c>
      <c r="E17" s="26">
        <v>70</v>
      </c>
      <c r="F17" s="27">
        <f t="shared" si="0"/>
        <v>350</v>
      </c>
      <c r="G17" s="27">
        <f>F17*0</f>
        <v>0</v>
      </c>
      <c r="H17" s="39">
        <f>E17*1</f>
        <v>70</v>
      </c>
      <c r="I17" s="27">
        <f t="shared" si="1"/>
        <v>350</v>
      </c>
      <c r="J17" s="28"/>
    </row>
    <row r="18" spans="1:10" s="21" customFormat="1" x14ac:dyDescent="0.25">
      <c r="A18" s="22">
        <f t="shared" ref="A18:A45" si="2">A17+1</f>
        <v>3</v>
      </c>
      <c r="B18" s="23" t="s">
        <v>512</v>
      </c>
      <c r="C18" s="24" t="s">
        <v>23</v>
      </c>
      <c r="D18" s="25">
        <v>65</v>
      </c>
      <c r="E18" s="26">
        <v>65</v>
      </c>
      <c r="F18" s="27">
        <f t="shared" si="0"/>
        <v>4225</v>
      </c>
      <c r="G18" s="27">
        <f>F18*0.17</f>
        <v>718.25</v>
      </c>
      <c r="H18" s="39">
        <f>E18*1.17</f>
        <v>76.05</v>
      </c>
      <c r="I18" s="27">
        <f t="shared" si="1"/>
        <v>4943.25</v>
      </c>
      <c r="J18" s="28"/>
    </row>
    <row r="19" spans="1:10" s="21" customFormat="1" x14ac:dyDescent="0.25">
      <c r="A19" s="22">
        <f t="shared" si="2"/>
        <v>4</v>
      </c>
      <c r="B19" s="23" t="s">
        <v>513</v>
      </c>
      <c r="C19" s="24" t="s">
        <v>23</v>
      </c>
      <c r="D19" s="25">
        <v>4</v>
      </c>
      <c r="E19" s="26">
        <v>450</v>
      </c>
      <c r="F19" s="27">
        <f t="shared" si="0"/>
        <v>1800</v>
      </c>
      <c r="G19" s="27">
        <f>F19*0.17</f>
        <v>306</v>
      </c>
      <c r="H19" s="39">
        <f>E19*1.17</f>
        <v>526.5</v>
      </c>
      <c r="I19" s="27">
        <f t="shared" si="1"/>
        <v>2106</v>
      </c>
      <c r="J19" s="28"/>
    </row>
    <row r="20" spans="1:10" s="21" customFormat="1" x14ac:dyDescent="0.25">
      <c r="A20" s="22">
        <f t="shared" si="2"/>
        <v>5</v>
      </c>
      <c r="B20" s="23" t="s">
        <v>514</v>
      </c>
      <c r="C20" s="24" t="s">
        <v>23</v>
      </c>
      <c r="D20" s="25">
        <v>2</v>
      </c>
      <c r="E20" s="26">
        <v>25</v>
      </c>
      <c r="F20" s="27">
        <f t="shared" si="0"/>
        <v>50</v>
      </c>
      <c r="G20" s="27">
        <f t="shared" ref="G20:G23" si="3">F20*0</f>
        <v>0</v>
      </c>
      <c r="H20" s="39">
        <f t="shared" ref="H20:H23" si="4">E20*1</f>
        <v>25</v>
      </c>
      <c r="I20" s="27">
        <f t="shared" si="1"/>
        <v>50</v>
      </c>
      <c r="J20" s="28"/>
    </row>
    <row r="21" spans="1:10" s="21" customFormat="1" x14ac:dyDescent="0.25">
      <c r="A21" s="22">
        <f t="shared" si="2"/>
        <v>6</v>
      </c>
      <c r="B21" s="23" t="s">
        <v>515</v>
      </c>
      <c r="C21" s="24" t="s">
        <v>23</v>
      </c>
      <c r="D21" s="25">
        <v>2</v>
      </c>
      <c r="E21" s="26">
        <v>25</v>
      </c>
      <c r="F21" s="27">
        <f t="shared" si="0"/>
        <v>50</v>
      </c>
      <c r="G21" s="27">
        <f t="shared" si="3"/>
        <v>0</v>
      </c>
      <c r="H21" s="39">
        <f t="shared" si="4"/>
        <v>25</v>
      </c>
      <c r="I21" s="27">
        <f t="shared" si="1"/>
        <v>50</v>
      </c>
      <c r="J21" s="28"/>
    </row>
    <row r="22" spans="1:10" s="21" customFormat="1" x14ac:dyDescent="0.25">
      <c r="A22" s="22">
        <f t="shared" si="2"/>
        <v>7</v>
      </c>
      <c r="B22" s="23" t="s">
        <v>516</v>
      </c>
      <c r="C22" s="24" t="s">
        <v>23</v>
      </c>
      <c r="D22" s="25">
        <v>2</v>
      </c>
      <c r="E22" s="26">
        <v>25</v>
      </c>
      <c r="F22" s="27">
        <f t="shared" si="0"/>
        <v>50</v>
      </c>
      <c r="G22" s="27">
        <f t="shared" si="3"/>
        <v>0</v>
      </c>
      <c r="H22" s="39">
        <f t="shared" si="4"/>
        <v>25</v>
      </c>
      <c r="I22" s="27">
        <f t="shared" si="1"/>
        <v>50</v>
      </c>
      <c r="J22" s="28"/>
    </row>
    <row r="23" spans="1:10" s="21" customFormat="1" x14ac:dyDescent="0.25">
      <c r="A23" s="22">
        <f t="shared" si="2"/>
        <v>8</v>
      </c>
      <c r="B23" s="23" t="s">
        <v>517</v>
      </c>
      <c r="C23" s="24" t="s">
        <v>23</v>
      </c>
      <c r="D23" s="25">
        <v>2</v>
      </c>
      <c r="E23" s="26">
        <v>25</v>
      </c>
      <c r="F23" s="27">
        <f t="shared" si="0"/>
        <v>50</v>
      </c>
      <c r="G23" s="27">
        <f t="shared" si="3"/>
        <v>0</v>
      </c>
      <c r="H23" s="39">
        <f t="shared" si="4"/>
        <v>25</v>
      </c>
      <c r="I23" s="27">
        <f t="shared" si="1"/>
        <v>50</v>
      </c>
      <c r="J23" s="28"/>
    </row>
    <row r="24" spans="1:10" s="21" customFormat="1" x14ac:dyDescent="0.25">
      <c r="A24" s="22">
        <f t="shared" si="2"/>
        <v>9</v>
      </c>
      <c r="B24" s="23" t="s">
        <v>384</v>
      </c>
      <c r="C24" s="24" t="s">
        <v>23</v>
      </c>
      <c r="D24" s="25">
        <v>6</v>
      </c>
      <c r="E24" s="26">
        <v>90</v>
      </c>
      <c r="F24" s="27">
        <f t="shared" si="0"/>
        <v>540</v>
      </c>
      <c r="G24" s="27">
        <f t="shared" ref="G24:G29" si="5">F24*0.17</f>
        <v>91.800000000000011</v>
      </c>
      <c r="H24" s="39">
        <f t="shared" ref="H24:H29" si="6">E24*1.17</f>
        <v>105.3</v>
      </c>
      <c r="I24" s="27">
        <f t="shared" si="1"/>
        <v>631.79999999999995</v>
      </c>
      <c r="J24" s="28"/>
    </row>
    <row r="25" spans="1:10" s="21" customFormat="1" x14ac:dyDescent="0.25">
      <c r="A25" s="22">
        <f t="shared" si="2"/>
        <v>10</v>
      </c>
      <c r="B25" s="23" t="s">
        <v>385</v>
      </c>
      <c r="C25" s="24" t="s">
        <v>23</v>
      </c>
      <c r="D25" s="25">
        <v>2</v>
      </c>
      <c r="E25" s="26">
        <v>135</v>
      </c>
      <c r="F25" s="27">
        <f t="shared" si="0"/>
        <v>270</v>
      </c>
      <c r="G25" s="27">
        <f t="shared" si="5"/>
        <v>45.900000000000006</v>
      </c>
      <c r="H25" s="39">
        <f t="shared" si="6"/>
        <v>157.94999999999999</v>
      </c>
      <c r="I25" s="27">
        <f t="shared" si="1"/>
        <v>315.89999999999998</v>
      </c>
      <c r="J25" s="28"/>
    </row>
    <row r="26" spans="1:10" s="21" customFormat="1" x14ac:dyDescent="0.25">
      <c r="A26" s="22">
        <f t="shared" si="2"/>
        <v>11</v>
      </c>
      <c r="B26" s="23" t="s">
        <v>518</v>
      </c>
      <c r="C26" s="24" t="s">
        <v>76</v>
      </c>
      <c r="D26" s="25">
        <v>1</v>
      </c>
      <c r="E26" s="26">
        <v>110</v>
      </c>
      <c r="F26" s="27">
        <f t="shared" si="0"/>
        <v>110</v>
      </c>
      <c r="G26" s="27">
        <f t="shared" si="5"/>
        <v>18.700000000000003</v>
      </c>
      <c r="H26" s="39">
        <f t="shared" si="6"/>
        <v>128.69999999999999</v>
      </c>
      <c r="I26" s="27">
        <f t="shared" si="1"/>
        <v>128.69999999999999</v>
      </c>
      <c r="J26" s="28"/>
    </row>
    <row r="27" spans="1:10" s="21" customFormat="1" x14ac:dyDescent="0.25">
      <c r="A27" s="22">
        <f t="shared" si="2"/>
        <v>12</v>
      </c>
      <c r="B27" s="23" t="s">
        <v>519</v>
      </c>
      <c r="C27" s="24" t="s">
        <v>76</v>
      </c>
      <c r="D27" s="25">
        <v>1</v>
      </c>
      <c r="E27" s="26">
        <v>210</v>
      </c>
      <c r="F27" s="27">
        <f t="shared" si="0"/>
        <v>210</v>
      </c>
      <c r="G27" s="27">
        <f t="shared" si="5"/>
        <v>35.700000000000003</v>
      </c>
      <c r="H27" s="39">
        <f t="shared" si="6"/>
        <v>245.7</v>
      </c>
      <c r="I27" s="27">
        <f t="shared" si="1"/>
        <v>245.7</v>
      </c>
      <c r="J27" s="28"/>
    </row>
    <row r="28" spans="1:10" s="21" customFormat="1" x14ac:dyDescent="0.25">
      <c r="A28" s="22">
        <f t="shared" si="2"/>
        <v>13</v>
      </c>
      <c r="B28" s="23" t="s">
        <v>520</v>
      </c>
      <c r="C28" s="24" t="s">
        <v>76</v>
      </c>
      <c r="D28" s="25">
        <v>1</v>
      </c>
      <c r="E28" s="26">
        <v>210</v>
      </c>
      <c r="F28" s="27">
        <f t="shared" si="0"/>
        <v>210</v>
      </c>
      <c r="G28" s="27">
        <f t="shared" si="5"/>
        <v>35.700000000000003</v>
      </c>
      <c r="H28" s="39">
        <f t="shared" si="6"/>
        <v>245.7</v>
      </c>
      <c r="I28" s="27">
        <f t="shared" si="1"/>
        <v>245.7</v>
      </c>
      <c r="J28" s="28"/>
    </row>
    <row r="29" spans="1:10" s="21" customFormat="1" x14ac:dyDescent="0.25">
      <c r="A29" s="22">
        <f t="shared" si="2"/>
        <v>14</v>
      </c>
      <c r="B29" s="23" t="s">
        <v>521</v>
      </c>
      <c r="C29" s="24" t="s">
        <v>76</v>
      </c>
      <c r="D29" s="25">
        <v>1</v>
      </c>
      <c r="E29" s="26">
        <v>210</v>
      </c>
      <c r="F29" s="27">
        <f t="shared" si="0"/>
        <v>210</v>
      </c>
      <c r="G29" s="27">
        <f t="shared" si="5"/>
        <v>35.700000000000003</v>
      </c>
      <c r="H29" s="39">
        <f t="shared" si="6"/>
        <v>245.7</v>
      </c>
      <c r="I29" s="27">
        <f t="shared" si="1"/>
        <v>245.7</v>
      </c>
      <c r="J29" s="28"/>
    </row>
    <row r="30" spans="1:10" s="21" customFormat="1" x14ac:dyDescent="0.25">
      <c r="A30" s="22">
        <f t="shared" si="2"/>
        <v>15</v>
      </c>
      <c r="B30" s="23" t="s">
        <v>522</v>
      </c>
      <c r="C30" s="24" t="s">
        <v>23</v>
      </c>
      <c r="D30" s="25">
        <v>15</v>
      </c>
      <c r="E30" s="26">
        <v>75</v>
      </c>
      <c r="F30" s="27">
        <f t="shared" si="0"/>
        <v>1125</v>
      </c>
      <c r="G30" s="27">
        <f t="shared" ref="G30:G32" si="7">F30*0</f>
        <v>0</v>
      </c>
      <c r="H30" s="39">
        <f t="shared" ref="H30:H32" si="8">E30*1</f>
        <v>75</v>
      </c>
      <c r="I30" s="27">
        <f t="shared" si="1"/>
        <v>1125</v>
      </c>
      <c r="J30" s="28"/>
    </row>
    <row r="31" spans="1:10" s="21" customFormat="1" x14ac:dyDescent="0.25">
      <c r="A31" s="22">
        <f t="shared" si="2"/>
        <v>16</v>
      </c>
      <c r="B31" s="23" t="s">
        <v>523</v>
      </c>
      <c r="C31" s="24" t="s">
        <v>23</v>
      </c>
      <c r="D31" s="25">
        <v>10</v>
      </c>
      <c r="E31" s="26">
        <v>75</v>
      </c>
      <c r="F31" s="27">
        <f t="shared" si="0"/>
        <v>750</v>
      </c>
      <c r="G31" s="27">
        <f t="shared" si="7"/>
        <v>0</v>
      </c>
      <c r="H31" s="39">
        <f t="shared" si="8"/>
        <v>75</v>
      </c>
      <c r="I31" s="27">
        <f t="shared" si="1"/>
        <v>750</v>
      </c>
      <c r="J31" s="28"/>
    </row>
    <row r="32" spans="1:10" s="21" customFormat="1" x14ac:dyDescent="0.25">
      <c r="A32" s="22">
        <f t="shared" si="2"/>
        <v>17</v>
      </c>
      <c r="B32" s="23" t="s">
        <v>524</v>
      </c>
      <c r="C32" s="24" t="s">
        <v>23</v>
      </c>
      <c r="D32" s="25">
        <v>6</v>
      </c>
      <c r="E32" s="26">
        <v>75</v>
      </c>
      <c r="F32" s="27">
        <f t="shared" si="0"/>
        <v>450</v>
      </c>
      <c r="G32" s="27">
        <f t="shared" si="7"/>
        <v>0</v>
      </c>
      <c r="H32" s="39">
        <f t="shared" si="8"/>
        <v>75</v>
      </c>
      <c r="I32" s="27">
        <f t="shared" si="1"/>
        <v>450</v>
      </c>
      <c r="J32" s="28"/>
    </row>
    <row r="33" spans="1:10" s="21" customFormat="1" x14ac:dyDescent="0.25">
      <c r="A33" s="22">
        <f t="shared" si="2"/>
        <v>18</v>
      </c>
      <c r="B33" s="23" t="s">
        <v>397</v>
      </c>
      <c r="C33" s="24" t="s">
        <v>76</v>
      </c>
      <c r="D33" s="25">
        <v>1</v>
      </c>
      <c r="E33" s="26">
        <v>100</v>
      </c>
      <c r="F33" s="27">
        <f t="shared" si="0"/>
        <v>100</v>
      </c>
      <c r="G33" s="27">
        <f t="shared" ref="G33:G45" si="9">F33*0.17</f>
        <v>17</v>
      </c>
      <c r="H33" s="39">
        <f t="shared" ref="H33:H45" si="10">E33*1.17</f>
        <v>117</v>
      </c>
      <c r="I33" s="27">
        <f t="shared" si="1"/>
        <v>117</v>
      </c>
      <c r="J33" s="28"/>
    </row>
    <row r="34" spans="1:10" s="21" customFormat="1" x14ac:dyDescent="0.25">
      <c r="A34" s="22">
        <f t="shared" si="2"/>
        <v>19</v>
      </c>
      <c r="B34" s="23" t="s">
        <v>525</v>
      </c>
      <c r="C34" s="24" t="s">
        <v>166</v>
      </c>
      <c r="D34" s="25">
        <v>6</v>
      </c>
      <c r="E34" s="26">
        <v>35</v>
      </c>
      <c r="F34" s="27">
        <f t="shared" si="0"/>
        <v>210</v>
      </c>
      <c r="G34" s="27">
        <f t="shared" si="9"/>
        <v>35.700000000000003</v>
      </c>
      <c r="H34" s="39">
        <f t="shared" si="10"/>
        <v>40.949999999999996</v>
      </c>
      <c r="I34" s="27">
        <f t="shared" si="1"/>
        <v>245.7</v>
      </c>
      <c r="J34" s="28"/>
    </row>
    <row r="35" spans="1:10" s="21" customFormat="1" x14ac:dyDescent="0.25">
      <c r="A35" s="22">
        <f t="shared" si="2"/>
        <v>20</v>
      </c>
      <c r="B35" s="23" t="s">
        <v>44</v>
      </c>
      <c r="C35" s="24" t="s">
        <v>23</v>
      </c>
      <c r="D35" s="25">
        <v>1</v>
      </c>
      <c r="E35" s="26">
        <v>240</v>
      </c>
      <c r="F35" s="27">
        <f t="shared" si="0"/>
        <v>240</v>
      </c>
      <c r="G35" s="27">
        <f t="shared" si="9"/>
        <v>40.800000000000004</v>
      </c>
      <c r="H35" s="39">
        <f t="shared" si="10"/>
        <v>280.79999999999995</v>
      </c>
      <c r="I35" s="27">
        <f t="shared" si="1"/>
        <v>280.79999999999995</v>
      </c>
      <c r="J35" s="28"/>
    </row>
    <row r="36" spans="1:10" s="21" customFormat="1" x14ac:dyDescent="0.25">
      <c r="A36" s="22">
        <f t="shared" si="2"/>
        <v>21</v>
      </c>
      <c r="B36" s="23" t="s">
        <v>526</v>
      </c>
      <c r="C36" s="24" t="s">
        <v>23</v>
      </c>
      <c r="D36" s="25">
        <v>2</v>
      </c>
      <c r="E36" s="26">
        <v>160</v>
      </c>
      <c r="F36" s="27">
        <f t="shared" si="0"/>
        <v>320</v>
      </c>
      <c r="G36" s="27">
        <f t="shared" si="9"/>
        <v>54.400000000000006</v>
      </c>
      <c r="H36" s="39">
        <f t="shared" si="10"/>
        <v>187.2</v>
      </c>
      <c r="I36" s="27">
        <f t="shared" si="1"/>
        <v>374.4</v>
      </c>
      <c r="J36" s="28"/>
    </row>
    <row r="37" spans="1:10" s="21" customFormat="1" x14ac:dyDescent="0.25">
      <c r="A37" s="22">
        <f t="shared" si="2"/>
        <v>22</v>
      </c>
      <c r="B37" s="23" t="s">
        <v>527</v>
      </c>
      <c r="C37" s="24" t="s">
        <v>23</v>
      </c>
      <c r="D37" s="25">
        <v>8</v>
      </c>
      <c r="E37" s="26">
        <v>35</v>
      </c>
      <c r="F37" s="27">
        <f t="shared" si="0"/>
        <v>280</v>
      </c>
      <c r="G37" s="27">
        <f t="shared" si="9"/>
        <v>47.6</v>
      </c>
      <c r="H37" s="39">
        <f t="shared" si="10"/>
        <v>40.949999999999996</v>
      </c>
      <c r="I37" s="27">
        <f t="shared" si="1"/>
        <v>327.59999999999997</v>
      </c>
      <c r="J37" s="28"/>
    </row>
    <row r="38" spans="1:10" s="21" customFormat="1" x14ac:dyDescent="0.25">
      <c r="A38" s="22">
        <f t="shared" si="2"/>
        <v>23</v>
      </c>
      <c r="B38" s="23" t="s">
        <v>528</v>
      </c>
      <c r="C38" s="24" t="s">
        <v>23</v>
      </c>
      <c r="D38" s="25">
        <v>1</v>
      </c>
      <c r="E38" s="26">
        <v>35</v>
      </c>
      <c r="F38" s="27">
        <f t="shared" si="0"/>
        <v>35</v>
      </c>
      <c r="G38" s="27">
        <f t="shared" si="9"/>
        <v>5.95</v>
      </c>
      <c r="H38" s="39">
        <f t="shared" si="10"/>
        <v>40.949999999999996</v>
      </c>
      <c r="I38" s="27">
        <f t="shared" si="1"/>
        <v>40.949999999999996</v>
      </c>
      <c r="J38" s="28"/>
    </row>
    <row r="39" spans="1:10" s="21" customFormat="1" x14ac:dyDescent="0.25">
      <c r="A39" s="22">
        <f t="shared" si="2"/>
        <v>24</v>
      </c>
      <c r="B39" s="23" t="s">
        <v>529</v>
      </c>
      <c r="C39" s="24" t="s">
        <v>23</v>
      </c>
      <c r="D39" s="25">
        <v>2</v>
      </c>
      <c r="E39" s="26">
        <v>45</v>
      </c>
      <c r="F39" s="27">
        <f t="shared" si="0"/>
        <v>90</v>
      </c>
      <c r="G39" s="27">
        <f t="shared" si="9"/>
        <v>15.3</v>
      </c>
      <c r="H39" s="39">
        <f t="shared" si="10"/>
        <v>52.65</v>
      </c>
      <c r="I39" s="27">
        <f t="shared" si="1"/>
        <v>105.3</v>
      </c>
      <c r="J39" s="28"/>
    </row>
    <row r="40" spans="1:10" s="21" customFormat="1" x14ac:dyDescent="0.25">
      <c r="A40" s="22">
        <f t="shared" si="2"/>
        <v>25</v>
      </c>
      <c r="B40" s="23" t="s">
        <v>530</v>
      </c>
      <c r="C40" s="24" t="s">
        <v>23</v>
      </c>
      <c r="D40" s="25">
        <v>2</v>
      </c>
      <c r="E40" s="26">
        <v>45</v>
      </c>
      <c r="F40" s="27">
        <f t="shared" si="0"/>
        <v>90</v>
      </c>
      <c r="G40" s="27">
        <f t="shared" si="9"/>
        <v>15.3</v>
      </c>
      <c r="H40" s="39">
        <f t="shared" si="10"/>
        <v>52.65</v>
      </c>
      <c r="I40" s="27">
        <f t="shared" si="1"/>
        <v>105.3</v>
      </c>
      <c r="J40" s="28"/>
    </row>
    <row r="41" spans="1:10" s="21" customFormat="1" x14ac:dyDescent="0.25">
      <c r="A41" s="22">
        <f t="shared" si="2"/>
        <v>26</v>
      </c>
      <c r="B41" s="23" t="s">
        <v>531</v>
      </c>
      <c r="C41" s="24" t="s">
        <v>23</v>
      </c>
      <c r="D41" s="25">
        <v>2</v>
      </c>
      <c r="E41" s="26">
        <v>75</v>
      </c>
      <c r="F41" s="27">
        <f t="shared" si="0"/>
        <v>150</v>
      </c>
      <c r="G41" s="27">
        <f t="shared" si="9"/>
        <v>25.500000000000004</v>
      </c>
      <c r="H41" s="39">
        <f t="shared" si="10"/>
        <v>87.75</v>
      </c>
      <c r="I41" s="27">
        <f t="shared" si="1"/>
        <v>175.5</v>
      </c>
      <c r="J41" s="28"/>
    </row>
    <row r="42" spans="1:10" s="21" customFormat="1" ht="25.5" x14ac:dyDescent="0.25">
      <c r="A42" s="22">
        <f t="shared" si="2"/>
        <v>27</v>
      </c>
      <c r="B42" s="23" t="s">
        <v>532</v>
      </c>
      <c r="C42" s="24" t="s">
        <v>23</v>
      </c>
      <c r="D42" s="25">
        <v>12</v>
      </c>
      <c r="E42" s="26">
        <v>35</v>
      </c>
      <c r="F42" s="27">
        <f t="shared" si="0"/>
        <v>420</v>
      </c>
      <c r="G42" s="27">
        <f t="shared" si="9"/>
        <v>71.400000000000006</v>
      </c>
      <c r="H42" s="39">
        <f t="shared" si="10"/>
        <v>40.949999999999996</v>
      </c>
      <c r="I42" s="27">
        <f t="shared" si="1"/>
        <v>491.4</v>
      </c>
      <c r="J42" s="28"/>
    </row>
    <row r="43" spans="1:10" s="21" customFormat="1" ht="25.5" x14ac:dyDescent="0.25">
      <c r="A43" s="22">
        <f t="shared" si="2"/>
        <v>28</v>
      </c>
      <c r="B43" s="23" t="s">
        <v>533</v>
      </c>
      <c r="C43" s="24" t="s">
        <v>23</v>
      </c>
      <c r="D43" s="25">
        <v>36</v>
      </c>
      <c r="E43" s="26">
        <v>85</v>
      </c>
      <c r="F43" s="27">
        <f t="shared" si="0"/>
        <v>3060</v>
      </c>
      <c r="G43" s="27">
        <f t="shared" si="9"/>
        <v>520.20000000000005</v>
      </c>
      <c r="H43" s="39">
        <f t="shared" si="10"/>
        <v>99.449999999999989</v>
      </c>
      <c r="I43" s="27">
        <f t="shared" si="1"/>
        <v>3580.2</v>
      </c>
      <c r="J43" s="28"/>
    </row>
    <row r="44" spans="1:10" s="21" customFormat="1" x14ac:dyDescent="0.25">
      <c r="A44" s="22">
        <f t="shared" si="2"/>
        <v>29</v>
      </c>
      <c r="B44" s="23" t="s">
        <v>534</v>
      </c>
      <c r="C44" s="24" t="s">
        <v>269</v>
      </c>
      <c r="D44" s="25">
        <v>20</v>
      </c>
      <c r="E44" s="26">
        <v>395</v>
      </c>
      <c r="F44" s="27">
        <f t="shared" si="0"/>
        <v>7900</v>
      </c>
      <c r="G44" s="27">
        <f t="shared" si="9"/>
        <v>1343</v>
      </c>
      <c r="H44" s="39">
        <f t="shared" si="10"/>
        <v>462.15</v>
      </c>
      <c r="I44" s="27">
        <f t="shared" si="1"/>
        <v>9243</v>
      </c>
      <c r="J44" s="28"/>
    </row>
    <row r="45" spans="1:10" s="21" customFormat="1" x14ac:dyDescent="0.25">
      <c r="A45" s="22">
        <f t="shared" si="2"/>
        <v>30</v>
      </c>
      <c r="B45" s="23" t="s">
        <v>535</v>
      </c>
      <c r="C45" s="24" t="s">
        <v>269</v>
      </c>
      <c r="D45" s="25">
        <v>1</v>
      </c>
      <c r="E45" s="26">
        <v>410</v>
      </c>
      <c r="F45" s="27">
        <f t="shared" si="0"/>
        <v>410</v>
      </c>
      <c r="G45" s="27">
        <f t="shared" si="9"/>
        <v>69.7</v>
      </c>
      <c r="H45" s="39">
        <f t="shared" si="10"/>
        <v>479.7</v>
      </c>
      <c r="I45" s="27">
        <f t="shared" si="1"/>
        <v>479.7</v>
      </c>
      <c r="J45" s="28"/>
    </row>
    <row r="46" spans="1:10" s="21" customFormat="1" x14ac:dyDescent="0.25">
      <c r="A46" s="29"/>
      <c r="B46" s="30"/>
      <c r="C46" s="31"/>
      <c r="D46" s="25"/>
      <c r="E46" s="26"/>
      <c r="F46" s="32"/>
      <c r="G46" s="32"/>
      <c r="H46" s="26"/>
      <c r="I46" s="32"/>
      <c r="J46" s="28"/>
    </row>
    <row r="47" spans="1:10" ht="15.75" thickBot="1" x14ac:dyDescent="0.3">
      <c r="A47" s="33"/>
      <c r="B47" s="34" t="s">
        <v>24</v>
      </c>
      <c r="C47" s="35"/>
      <c r="D47" s="36">
        <f>SUM(D16:D45)</f>
        <v>231</v>
      </c>
      <c r="E47" s="35"/>
      <c r="F47" s="36">
        <f t="shared" ref="F47:G47" si="11">SUM(F16:F45)</f>
        <v>24595</v>
      </c>
      <c r="G47" s="36">
        <f t="shared" si="11"/>
        <v>3549.6000000000004</v>
      </c>
      <c r="H47" s="35"/>
      <c r="I47" s="36">
        <f>SUM(I16:I45)</f>
        <v>28144.600000000002</v>
      </c>
      <c r="J47" s="37"/>
    </row>
    <row r="48" spans="1:10" ht="15.75" thickTop="1" x14ac:dyDescent="0.25">
      <c r="A48" s="33"/>
      <c r="B48" s="34" t="s">
        <v>536</v>
      </c>
      <c r="C48" s="35"/>
      <c r="D48" s="35"/>
      <c r="E48" s="35"/>
      <c r="F48" s="35"/>
      <c r="G48" s="35"/>
      <c r="H48" s="35"/>
      <c r="I48" s="35"/>
      <c r="J48" s="37"/>
    </row>
    <row r="49" spans="1:10" x14ac:dyDescent="0.25">
      <c r="A49" s="33"/>
      <c r="B49" s="38" t="s">
        <v>25</v>
      </c>
      <c r="C49" s="35"/>
      <c r="D49" s="35"/>
      <c r="E49" s="35"/>
      <c r="F49" s="35"/>
      <c r="G49" s="35"/>
      <c r="H49" s="35"/>
      <c r="I49" s="35"/>
      <c r="J49" s="37"/>
    </row>
    <row r="50" spans="1:10" ht="30" customHeight="1" x14ac:dyDescent="0.25">
      <c r="B50" s="183" t="s">
        <v>26</v>
      </c>
      <c r="C50" s="183"/>
      <c r="D50" s="183"/>
      <c r="E50" s="183"/>
      <c r="F50" s="183"/>
      <c r="G50" s="183"/>
      <c r="H50" s="183"/>
      <c r="I50" s="183"/>
      <c r="J50" s="183"/>
    </row>
    <row r="51" spans="1:10" x14ac:dyDescent="0.25">
      <c r="B51" t="s">
        <v>27</v>
      </c>
    </row>
    <row r="53" spans="1:10" x14ac:dyDescent="0.25">
      <c r="B53" t="s">
        <v>28</v>
      </c>
      <c r="H53" t="s">
        <v>28</v>
      </c>
    </row>
    <row r="54" spans="1:10" x14ac:dyDescent="0.25">
      <c r="B54" t="s">
        <v>29</v>
      </c>
      <c r="H54" t="s">
        <v>30</v>
      </c>
    </row>
  </sheetData>
  <mergeCells count="5">
    <mergeCell ref="A6:J6"/>
    <mergeCell ref="I7:J7"/>
    <mergeCell ref="I8:J8"/>
    <mergeCell ref="I9:J9"/>
    <mergeCell ref="B50:J50"/>
  </mergeCells>
  <hyperlinks>
    <hyperlink ref="H5" r:id="rId1" xr:uid="{00000000-0004-0000-2600-000000000000}"/>
  </hyperlinks>
  <pageMargins left="0.2" right="0.1" top="0.25" bottom="0.25" header="0.3" footer="0.3"/>
  <pageSetup paperSize="9" orientation="portrait" r:id="rId2"/>
  <drawing r:id="rId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J30"/>
  <sheetViews>
    <sheetView workbookViewId="0">
      <selection activeCell="A12" sqref="A1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496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501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502</v>
      </c>
      <c r="J9" s="188"/>
    </row>
    <row r="10" spans="1:10" x14ac:dyDescent="0.25">
      <c r="B10" t="s">
        <v>9</v>
      </c>
      <c r="C10" s="10" t="s">
        <v>134</v>
      </c>
      <c r="D10" s="10"/>
      <c r="E10" s="10"/>
      <c r="F10" s="10"/>
    </row>
    <row r="11" spans="1:10" x14ac:dyDescent="0.25">
      <c r="B11" t="s">
        <v>11</v>
      </c>
      <c r="C11" s="10" t="s">
        <v>135</v>
      </c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 t="s">
        <v>137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503</v>
      </c>
      <c r="C16" s="24" t="s">
        <v>23</v>
      </c>
      <c r="D16" s="25">
        <v>6</v>
      </c>
      <c r="E16" s="40">
        <f>175.5/117*100</f>
        <v>150</v>
      </c>
      <c r="F16" s="27">
        <f t="shared" ref="F16:F18" si="0">D16*E16</f>
        <v>900</v>
      </c>
      <c r="G16" s="27">
        <f t="shared" ref="G16:G21" si="1">F16*0.17</f>
        <v>153</v>
      </c>
      <c r="H16" s="39">
        <f t="shared" ref="H16:H21" si="2">E16*1.17</f>
        <v>175.5</v>
      </c>
      <c r="I16" s="27">
        <f t="shared" ref="I16:I18" si="3">H16*D16</f>
        <v>1053</v>
      </c>
      <c r="J16" s="28"/>
    </row>
    <row r="17" spans="1:10" s="21" customFormat="1" x14ac:dyDescent="0.25">
      <c r="A17" s="22">
        <v>2</v>
      </c>
      <c r="B17" s="23" t="s">
        <v>504</v>
      </c>
      <c r="C17" s="24" t="s">
        <v>23</v>
      </c>
      <c r="D17" s="25">
        <v>6</v>
      </c>
      <c r="E17" s="40">
        <f t="shared" ref="E17:E18" si="4">175.5/117*100</f>
        <v>150</v>
      </c>
      <c r="F17" s="27">
        <f t="shared" si="0"/>
        <v>900</v>
      </c>
      <c r="G17" s="27">
        <f t="shared" si="1"/>
        <v>153</v>
      </c>
      <c r="H17" s="39">
        <f t="shared" si="2"/>
        <v>175.5</v>
      </c>
      <c r="I17" s="27">
        <f t="shared" si="3"/>
        <v>1053</v>
      </c>
      <c r="J17" s="28"/>
    </row>
    <row r="18" spans="1:10" s="21" customFormat="1" x14ac:dyDescent="0.25">
      <c r="A18" s="22">
        <v>3</v>
      </c>
      <c r="B18" s="23" t="s">
        <v>505</v>
      </c>
      <c r="C18" s="24" t="s">
        <v>23</v>
      </c>
      <c r="D18" s="25">
        <v>12</v>
      </c>
      <c r="E18" s="40">
        <f t="shared" si="4"/>
        <v>150</v>
      </c>
      <c r="F18" s="27">
        <f t="shared" si="0"/>
        <v>1800</v>
      </c>
      <c r="G18" s="27">
        <f t="shared" si="1"/>
        <v>306</v>
      </c>
      <c r="H18" s="39">
        <f t="shared" si="2"/>
        <v>175.5</v>
      </c>
      <c r="I18" s="27">
        <f t="shared" si="3"/>
        <v>2106</v>
      </c>
      <c r="J18" s="28"/>
    </row>
    <row r="19" spans="1:10" s="21" customFormat="1" x14ac:dyDescent="0.25">
      <c r="A19" s="22">
        <v>1</v>
      </c>
      <c r="B19" s="23" t="s">
        <v>506</v>
      </c>
      <c r="C19" s="24" t="s">
        <v>23</v>
      </c>
      <c r="D19" s="25">
        <v>12</v>
      </c>
      <c r="E19" s="40">
        <f>58.5/117*100</f>
        <v>50</v>
      </c>
      <c r="F19" s="27">
        <f t="shared" ref="F19:F21" si="5">D19*E19</f>
        <v>600</v>
      </c>
      <c r="G19" s="27">
        <f t="shared" si="1"/>
        <v>102.00000000000001</v>
      </c>
      <c r="H19" s="39">
        <f t="shared" si="2"/>
        <v>58.5</v>
      </c>
      <c r="I19" s="27">
        <f t="shared" ref="I19:I21" si="6">H19*D19</f>
        <v>702</v>
      </c>
      <c r="J19" s="28"/>
    </row>
    <row r="20" spans="1:10" s="21" customFormat="1" x14ac:dyDescent="0.25">
      <c r="A20" s="22">
        <v>2</v>
      </c>
      <c r="B20" s="23" t="s">
        <v>507</v>
      </c>
      <c r="C20" s="24" t="s">
        <v>23</v>
      </c>
      <c r="D20" s="25">
        <v>12</v>
      </c>
      <c r="E20" s="40">
        <f t="shared" ref="E20:E21" si="7">58.5/117*100</f>
        <v>50</v>
      </c>
      <c r="F20" s="27">
        <f t="shared" si="5"/>
        <v>600</v>
      </c>
      <c r="G20" s="27">
        <f t="shared" si="1"/>
        <v>102.00000000000001</v>
      </c>
      <c r="H20" s="39">
        <f t="shared" si="2"/>
        <v>58.5</v>
      </c>
      <c r="I20" s="27">
        <f t="shared" si="6"/>
        <v>702</v>
      </c>
      <c r="J20" s="28"/>
    </row>
    <row r="21" spans="1:10" s="21" customFormat="1" x14ac:dyDescent="0.25">
      <c r="A21" s="22">
        <v>3</v>
      </c>
      <c r="B21" s="23" t="s">
        <v>508</v>
      </c>
      <c r="C21" s="24" t="s">
        <v>23</v>
      </c>
      <c r="D21" s="25">
        <v>6</v>
      </c>
      <c r="E21" s="40">
        <f t="shared" si="7"/>
        <v>50</v>
      </c>
      <c r="F21" s="27">
        <f t="shared" si="5"/>
        <v>300</v>
      </c>
      <c r="G21" s="27">
        <f t="shared" si="1"/>
        <v>51.000000000000007</v>
      </c>
      <c r="H21" s="39">
        <f t="shared" si="2"/>
        <v>58.5</v>
      </c>
      <c r="I21" s="27">
        <f t="shared" si="6"/>
        <v>351</v>
      </c>
      <c r="J21" s="28"/>
    </row>
    <row r="22" spans="1:10" s="21" customFormat="1" x14ac:dyDescent="0.25">
      <c r="A22" s="29"/>
      <c r="B22" s="30"/>
      <c r="C22" s="31"/>
      <c r="D22" s="25"/>
      <c r="E22" s="26"/>
      <c r="F22" s="32"/>
      <c r="G22" s="32"/>
      <c r="H22" s="26"/>
      <c r="I22" s="32"/>
      <c r="J22" s="28"/>
    </row>
    <row r="23" spans="1:10" ht="15.75" thickBot="1" x14ac:dyDescent="0.3">
      <c r="A23" s="33"/>
      <c r="B23" s="34" t="s">
        <v>24</v>
      </c>
      <c r="C23" s="35"/>
      <c r="D23" s="36">
        <f>SUM(D16:D21)</f>
        <v>54</v>
      </c>
      <c r="E23" s="35"/>
      <c r="F23" s="36">
        <f>SUM(F16:F21)</f>
        <v>5100</v>
      </c>
      <c r="G23" s="36">
        <f>SUM(G16:G21)</f>
        <v>867</v>
      </c>
      <c r="H23" s="35"/>
      <c r="I23" s="36">
        <f>SUM(I16:I21)</f>
        <v>5967</v>
      </c>
      <c r="J23" s="37"/>
    </row>
    <row r="24" spans="1:10" ht="15.75" thickTop="1" x14ac:dyDescent="0.25">
      <c r="A24" s="33"/>
      <c r="B24" s="34" t="s">
        <v>509</v>
      </c>
      <c r="C24" s="35"/>
      <c r="D24" s="35"/>
      <c r="E24" s="35"/>
      <c r="F24" s="35"/>
      <c r="G24" s="35"/>
      <c r="H24" s="35"/>
      <c r="I24" s="35"/>
      <c r="J24" s="37"/>
    </row>
    <row r="25" spans="1:10" x14ac:dyDescent="0.25">
      <c r="A25" s="33"/>
      <c r="B25" s="38" t="s">
        <v>25</v>
      </c>
      <c r="C25" s="35"/>
      <c r="D25" s="35"/>
      <c r="E25" s="35"/>
      <c r="F25" s="35"/>
      <c r="G25" s="35"/>
      <c r="H25" s="35"/>
      <c r="I25" s="35"/>
      <c r="J25" s="37"/>
    </row>
    <row r="26" spans="1:10" ht="30" customHeight="1" x14ac:dyDescent="0.25">
      <c r="B26" s="183" t="s">
        <v>26</v>
      </c>
      <c r="C26" s="183"/>
      <c r="D26" s="183"/>
      <c r="E26" s="183"/>
      <c r="F26" s="183"/>
      <c r="G26" s="183"/>
      <c r="H26" s="183"/>
      <c r="I26" s="183"/>
      <c r="J26" s="183"/>
    </row>
    <row r="27" spans="1:10" x14ac:dyDescent="0.25">
      <c r="B27" t="s">
        <v>27</v>
      </c>
    </row>
    <row r="29" spans="1:10" x14ac:dyDescent="0.25">
      <c r="B29" t="s">
        <v>28</v>
      </c>
      <c r="H29" t="s">
        <v>28</v>
      </c>
    </row>
    <row r="30" spans="1:10" x14ac:dyDescent="0.25">
      <c r="B30" t="s">
        <v>29</v>
      </c>
      <c r="H30" t="s">
        <v>30</v>
      </c>
    </row>
  </sheetData>
  <mergeCells count="5">
    <mergeCell ref="A6:J6"/>
    <mergeCell ref="I7:J7"/>
    <mergeCell ref="I8:J8"/>
    <mergeCell ref="I9:J9"/>
    <mergeCell ref="B26:J26"/>
  </mergeCells>
  <hyperlinks>
    <hyperlink ref="H5" r:id="rId1" xr:uid="{00000000-0004-0000-2700-000000000000}"/>
  </hyperlinks>
  <pageMargins left="0.2" right="0.1" top="0.25" bottom="0.25" header="0.3" footer="0.3"/>
  <pageSetup paperSize="9" orientation="portrait" r:id="rId2"/>
  <drawing r:id="rId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J27"/>
  <sheetViews>
    <sheetView workbookViewId="0">
      <selection activeCell="B11" sqref="B1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496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495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497</v>
      </c>
      <c r="J9" s="188"/>
    </row>
    <row r="10" spans="1:10" x14ac:dyDescent="0.25">
      <c r="B10" t="s">
        <v>9</v>
      </c>
      <c r="C10" s="10" t="s">
        <v>134</v>
      </c>
      <c r="D10" s="10"/>
      <c r="E10" s="10"/>
      <c r="F10" s="10"/>
    </row>
    <row r="11" spans="1:10" x14ac:dyDescent="0.25">
      <c r="B11" t="s">
        <v>11</v>
      </c>
      <c r="C11" s="10" t="s">
        <v>135</v>
      </c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 t="s">
        <v>137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498</v>
      </c>
      <c r="C16" s="24" t="s">
        <v>192</v>
      </c>
      <c r="D16" s="25">
        <v>48</v>
      </c>
      <c r="E16" s="40">
        <f>140.4/117*100</f>
        <v>120</v>
      </c>
      <c r="F16" s="27">
        <f t="shared" ref="F16:F18" si="0">D16*E16</f>
        <v>5760</v>
      </c>
      <c r="G16" s="27">
        <f>F16*0.17</f>
        <v>979.2</v>
      </c>
      <c r="H16" s="39">
        <f>E16*1.17</f>
        <v>140.39999999999998</v>
      </c>
      <c r="I16" s="27">
        <f t="shared" ref="I16:I18" si="1">H16*D16</f>
        <v>6739.1999999999989</v>
      </c>
      <c r="J16" s="28"/>
    </row>
    <row r="17" spans="1:10" s="21" customFormat="1" x14ac:dyDescent="0.25">
      <c r="A17" s="22">
        <v>2</v>
      </c>
      <c r="B17" s="23" t="s">
        <v>499</v>
      </c>
      <c r="C17" s="24" t="s">
        <v>23</v>
      </c>
      <c r="D17" s="25">
        <v>48</v>
      </c>
      <c r="E17" s="40">
        <f>40.95/117*100</f>
        <v>35</v>
      </c>
      <c r="F17" s="27">
        <f t="shared" si="0"/>
        <v>1680</v>
      </c>
      <c r="G17" s="27">
        <f>F17*0.17</f>
        <v>285.60000000000002</v>
      </c>
      <c r="H17" s="39">
        <f>E17*1.17</f>
        <v>40.949999999999996</v>
      </c>
      <c r="I17" s="27">
        <f t="shared" si="1"/>
        <v>1965.6</v>
      </c>
      <c r="J17" s="28"/>
    </row>
    <row r="18" spans="1:10" s="21" customFormat="1" x14ac:dyDescent="0.25">
      <c r="A18" s="22">
        <v>3</v>
      </c>
      <c r="B18" s="23" t="s">
        <v>176</v>
      </c>
      <c r="C18" s="24" t="s">
        <v>192</v>
      </c>
      <c r="D18" s="25">
        <v>16</v>
      </c>
      <c r="E18" s="40">
        <f>386.1/117*100</f>
        <v>330</v>
      </c>
      <c r="F18" s="27">
        <f t="shared" si="0"/>
        <v>5280</v>
      </c>
      <c r="G18" s="27">
        <f>F18*0.17</f>
        <v>897.6</v>
      </c>
      <c r="H18" s="39">
        <f>E18*1.17</f>
        <v>386.09999999999997</v>
      </c>
      <c r="I18" s="27">
        <f t="shared" si="1"/>
        <v>6177.5999999999995</v>
      </c>
      <c r="J18" s="28"/>
    </row>
    <row r="19" spans="1:10" s="21" customFormat="1" x14ac:dyDescent="0.25">
      <c r="A19" s="29"/>
      <c r="B19" s="30"/>
      <c r="C19" s="31"/>
      <c r="D19" s="25"/>
      <c r="E19" s="26"/>
      <c r="F19" s="32"/>
      <c r="G19" s="32"/>
      <c r="H19" s="26"/>
      <c r="I19" s="32"/>
      <c r="J19" s="28"/>
    </row>
    <row r="20" spans="1:10" ht="15.75" thickBot="1" x14ac:dyDescent="0.3">
      <c r="A20" s="33"/>
      <c r="B20" s="34" t="s">
        <v>24</v>
      </c>
      <c r="C20" s="35"/>
      <c r="D20" s="36">
        <f>SUM(D16:D18)</f>
        <v>112</v>
      </c>
      <c r="E20" s="35"/>
      <c r="F20" s="36">
        <f>SUM(F16:F18)</f>
        <v>12720</v>
      </c>
      <c r="G20" s="36">
        <f>SUM(G16:G18)</f>
        <v>2162.4</v>
      </c>
      <c r="H20" s="35"/>
      <c r="I20" s="36">
        <f>SUM(I16:I18)</f>
        <v>14882.399999999998</v>
      </c>
      <c r="J20" s="37"/>
    </row>
    <row r="21" spans="1:10" ht="15.75" thickTop="1" x14ac:dyDescent="0.25">
      <c r="A21" s="33"/>
      <c r="B21" s="34" t="s">
        <v>500</v>
      </c>
      <c r="C21" s="35"/>
      <c r="D21" s="35"/>
      <c r="E21" s="35"/>
      <c r="F21" s="35"/>
      <c r="G21" s="35"/>
      <c r="H21" s="35"/>
      <c r="I21" s="35"/>
      <c r="J21" s="37"/>
    </row>
    <row r="22" spans="1:10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</row>
    <row r="23" spans="1:10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</row>
    <row r="24" spans="1:10" x14ac:dyDescent="0.25">
      <c r="B24" t="s">
        <v>27</v>
      </c>
    </row>
    <row r="26" spans="1:10" x14ac:dyDescent="0.25">
      <c r="B26" t="s">
        <v>28</v>
      </c>
      <c r="H26" t="s">
        <v>28</v>
      </c>
    </row>
    <row r="27" spans="1:10" x14ac:dyDescent="0.25">
      <c r="B27" t="s">
        <v>29</v>
      </c>
      <c r="H27" t="s">
        <v>30</v>
      </c>
    </row>
  </sheetData>
  <mergeCells count="5">
    <mergeCell ref="A6:J6"/>
    <mergeCell ref="I7:J7"/>
    <mergeCell ref="I8:J8"/>
    <mergeCell ref="I9:J9"/>
    <mergeCell ref="B23:J23"/>
  </mergeCells>
  <hyperlinks>
    <hyperlink ref="H5" r:id="rId1" xr:uid="{00000000-0004-0000-2800-000000000000}"/>
  </hyperlinks>
  <pageMargins left="0.2" right="0.1" top="0.25" bottom="0.25" header="0.3" footer="0.3"/>
  <pageSetup paperSize="9" orientation="portrait" r:id="rId2"/>
  <drawing r:id="rId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28"/>
  <sheetViews>
    <sheetView workbookViewId="0">
      <selection activeCell="H16" sqref="H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491</v>
      </c>
    </row>
    <row r="3" spans="1:10" x14ac:dyDescent="0.25">
      <c r="D3" s="2"/>
      <c r="E3" s="2"/>
      <c r="F3" s="2"/>
      <c r="H3" s="2" t="s">
        <v>492</v>
      </c>
    </row>
    <row r="4" spans="1:10" x14ac:dyDescent="0.25">
      <c r="D4" s="2"/>
      <c r="E4" s="2"/>
      <c r="F4" s="2"/>
      <c r="H4" s="2" t="s">
        <v>493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484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485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486</v>
      </c>
      <c r="J9" s="186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415</v>
      </c>
      <c r="C16" s="43" t="s">
        <v>23</v>
      </c>
      <c r="D16" s="43">
        <v>2000</v>
      </c>
      <c r="E16" s="26">
        <v>6</v>
      </c>
      <c r="F16" s="27">
        <f>D16*E16</f>
        <v>12000</v>
      </c>
      <c r="G16" s="27">
        <f>F16*0</f>
        <v>0</v>
      </c>
      <c r="H16" s="39">
        <f>E16*1</f>
        <v>6</v>
      </c>
      <c r="I16" s="27">
        <f>H16*D16</f>
        <v>12000</v>
      </c>
      <c r="J16" s="28"/>
    </row>
    <row r="17" spans="1:10" s="21" customFormat="1" x14ac:dyDescent="0.25">
      <c r="A17" s="22">
        <v>2</v>
      </c>
      <c r="B17" s="23" t="s">
        <v>487</v>
      </c>
      <c r="C17" s="43" t="s">
        <v>23</v>
      </c>
      <c r="D17" s="43">
        <v>240</v>
      </c>
      <c r="E17" s="26">
        <v>27</v>
      </c>
      <c r="F17" s="27">
        <f t="shared" ref="F17:F19" si="0">D17*E17</f>
        <v>6480</v>
      </c>
      <c r="G17" s="27">
        <f>F17*0</f>
        <v>0</v>
      </c>
      <c r="H17" s="39">
        <f>E17*1</f>
        <v>27</v>
      </c>
      <c r="I17" s="27">
        <f t="shared" ref="I17:I19" si="1">H17*D17</f>
        <v>6480</v>
      </c>
      <c r="J17" s="28"/>
    </row>
    <row r="18" spans="1:10" s="21" customFormat="1" x14ac:dyDescent="0.25">
      <c r="A18" s="22">
        <v>3</v>
      </c>
      <c r="B18" s="23" t="s">
        <v>488</v>
      </c>
      <c r="C18" s="43" t="s">
        <v>23</v>
      </c>
      <c r="D18" s="43">
        <v>50</v>
      </c>
      <c r="E18" s="26">
        <v>150</v>
      </c>
      <c r="F18" s="27">
        <f t="shared" si="0"/>
        <v>7500</v>
      </c>
      <c r="G18" s="27">
        <f>F18*0.17</f>
        <v>1275</v>
      </c>
      <c r="H18" s="39">
        <f>E18*1.17</f>
        <v>175.5</v>
      </c>
      <c r="I18" s="27">
        <f t="shared" si="1"/>
        <v>8775</v>
      </c>
      <c r="J18" s="28"/>
    </row>
    <row r="19" spans="1:10" s="21" customFormat="1" x14ac:dyDescent="0.25">
      <c r="A19" s="22">
        <v>4</v>
      </c>
      <c r="B19" s="23" t="s">
        <v>489</v>
      </c>
      <c r="C19" s="43" t="s">
        <v>23</v>
      </c>
      <c r="D19" s="43">
        <v>5000</v>
      </c>
      <c r="E19" s="26">
        <v>27.5</v>
      </c>
      <c r="F19" s="27">
        <f t="shared" si="0"/>
        <v>137500</v>
      </c>
      <c r="G19" s="27">
        <f>F19*0</f>
        <v>0</v>
      </c>
      <c r="H19" s="39">
        <f>E19*1</f>
        <v>27.5</v>
      </c>
      <c r="I19" s="27">
        <f t="shared" si="1"/>
        <v>137500</v>
      </c>
      <c r="J19" s="28"/>
    </row>
    <row r="20" spans="1:10" s="21" customFormat="1" x14ac:dyDescent="0.25">
      <c r="A20" s="29"/>
      <c r="B20" s="30"/>
      <c r="C20" s="31"/>
      <c r="D20" s="25"/>
      <c r="E20" s="26"/>
      <c r="F20" s="32"/>
      <c r="G20" s="32"/>
      <c r="H20" s="26"/>
      <c r="I20" s="32"/>
      <c r="J20" s="28"/>
    </row>
    <row r="21" spans="1:10" ht="15.75" thickBot="1" x14ac:dyDescent="0.3">
      <c r="A21" s="33"/>
      <c r="B21" s="34" t="s">
        <v>24</v>
      </c>
      <c r="C21" s="35"/>
      <c r="D21" s="36">
        <f>SUM(D16:D19)</f>
        <v>7290</v>
      </c>
      <c r="E21" s="35"/>
      <c r="F21" s="36">
        <f>SUM(F16:F19)</f>
        <v>163480</v>
      </c>
      <c r="G21" s="36">
        <f>SUM(G16:G19)</f>
        <v>1275</v>
      </c>
      <c r="H21" s="35"/>
      <c r="I21" s="36">
        <f>SUM(I16:I19)</f>
        <v>164755</v>
      </c>
      <c r="J21" s="37"/>
    </row>
    <row r="22" spans="1:10" ht="15.75" thickTop="1" x14ac:dyDescent="0.25">
      <c r="A22" s="33"/>
      <c r="B22" s="34" t="s">
        <v>490</v>
      </c>
      <c r="C22" s="35"/>
      <c r="D22" s="35"/>
      <c r="E22" s="35"/>
      <c r="F22" s="35"/>
      <c r="G22" s="35"/>
      <c r="H22" s="35"/>
      <c r="I22" s="35"/>
      <c r="J22" s="37"/>
    </row>
    <row r="23" spans="1:10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</row>
    <row r="24" spans="1:10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</row>
    <row r="25" spans="1:10" x14ac:dyDescent="0.25">
      <c r="B25" t="s">
        <v>27</v>
      </c>
    </row>
    <row r="27" spans="1:10" x14ac:dyDescent="0.25">
      <c r="B27" t="s">
        <v>28</v>
      </c>
      <c r="H27" t="s">
        <v>28</v>
      </c>
    </row>
    <row r="28" spans="1:10" x14ac:dyDescent="0.25">
      <c r="B28" t="s">
        <v>29</v>
      </c>
      <c r="H28" t="s">
        <v>30</v>
      </c>
    </row>
  </sheetData>
  <mergeCells count="5">
    <mergeCell ref="A6:J6"/>
    <mergeCell ref="I7:J7"/>
    <mergeCell ref="I8:J8"/>
    <mergeCell ref="I9:J9"/>
    <mergeCell ref="B24:J24"/>
  </mergeCells>
  <hyperlinks>
    <hyperlink ref="H5" r:id="rId1" xr:uid="{00000000-0004-0000-2900-000000000000}"/>
  </hyperlinks>
  <pageMargins left="0.2" right="0.1" top="0.25" bottom="0.25" header="0.3" footer="0.3"/>
  <pageSetup paperSize="9" orientation="portrait" r:id="rId2"/>
  <drawing r:id="rId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25"/>
  <sheetViews>
    <sheetView workbookViewId="0">
      <selection activeCell="F10" sqref="F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482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481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>
        <v>9859</v>
      </c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2</v>
      </c>
      <c r="B16" s="23" t="s">
        <v>459</v>
      </c>
      <c r="C16" s="24" t="s">
        <v>269</v>
      </c>
      <c r="D16" s="25">
        <v>15</v>
      </c>
      <c r="E16" s="26">
        <v>415</v>
      </c>
      <c r="F16" s="27">
        <f t="shared" ref="F16" si="0">D16*E16</f>
        <v>6225</v>
      </c>
      <c r="G16" s="27">
        <f>F16*0.17</f>
        <v>1058.25</v>
      </c>
      <c r="H16" s="39">
        <f>E16*1.17</f>
        <v>485.54999999999995</v>
      </c>
      <c r="I16" s="27">
        <f t="shared" ref="I16" si="1">H16*D16</f>
        <v>7283.2499999999991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15</v>
      </c>
      <c r="E18" s="35"/>
      <c r="F18" s="36">
        <f>SUM(F16:F16)</f>
        <v>6225</v>
      </c>
      <c r="G18" s="36">
        <f>SUM(G16:G16)</f>
        <v>1058.25</v>
      </c>
      <c r="H18" s="35"/>
      <c r="I18" s="36">
        <f>SUM(I16:I16)</f>
        <v>7283.2499999999991</v>
      </c>
      <c r="J18" s="37"/>
    </row>
    <row r="19" spans="1:10" ht="15.75" thickTop="1" x14ac:dyDescent="0.25">
      <c r="A19" s="33"/>
      <c r="B19" s="34" t="s">
        <v>483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2A00-000000000000}"/>
  </hyperlinks>
  <pageMargins left="0.2" right="0.1" top="0.25" bottom="0.25" header="0.3" footer="0.3"/>
  <pageSetup paperSize="9" orientation="portrait" r:id="rId2"/>
  <drawing r:id="rId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J25"/>
  <sheetViews>
    <sheetView topLeftCell="A2" workbookViewId="0">
      <selection activeCell="G13" sqref="G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473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474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480</v>
      </c>
      <c r="J9" s="186"/>
    </row>
    <row r="10" spans="1:10" x14ac:dyDescent="0.25">
      <c r="B10" t="s">
        <v>9</v>
      </c>
      <c r="C10" s="10" t="s">
        <v>475</v>
      </c>
      <c r="D10" s="10"/>
      <c r="E10" s="10"/>
      <c r="F10" s="10"/>
    </row>
    <row r="11" spans="1:10" x14ac:dyDescent="0.25">
      <c r="B11" t="s">
        <v>11</v>
      </c>
      <c r="C11" s="10" t="s">
        <v>476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477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478</v>
      </c>
      <c r="C16" s="24" t="s">
        <v>165</v>
      </c>
      <c r="D16" s="25">
        <v>8</v>
      </c>
      <c r="E16" s="26">
        <v>2000</v>
      </c>
      <c r="F16" s="27">
        <f>D16*E16</f>
        <v>16000</v>
      </c>
      <c r="G16" s="27">
        <f>F16*0.17</f>
        <v>2720</v>
      </c>
      <c r="H16" s="39">
        <f>E16*1.17</f>
        <v>2340</v>
      </c>
      <c r="I16" s="27">
        <f>H16*D16</f>
        <v>18720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8</v>
      </c>
      <c r="E18" s="35"/>
      <c r="F18" s="36">
        <f>SUM(F16:F16)</f>
        <v>16000</v>
      </c>
      <c r="G18" s="36">
        <f>SUM(G16:G16)</f>
        <v>2720</v>
      </c>
      <c r="H18" s="35"/>
      <c r="I18" s="36">
        <f>SUM(I16:I16)</f>
        <v>18720</v>
      </c>
      <c r="J18" s="37"/>
    </row>
    <row r="19" spans="1:10" ht="15.75" thickTop="1" x14ac:dyDescent="0.25">
      <c r="A19" s="33"/>
      <c r="B19" s="34" t="s">
        <v>479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471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2B00-000000000000}"/>
  </hyperlinks>
  <pageMargins left="0.2" right="0.1" top="0.25" bottom="0.25" header="0.3" footer="0.3"/>
  <pageSetup paperSize="9" orientation="portrait" r:id="rId2"/>
  <drawing r:id="rId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J25"/>
  <sheetViews>
    <sheetView workbookViewId="0">
      <selection activeCell="C11" sqref="C1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464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465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468</v>
      </c>
      <c r="J9" s="186"/>
    </row>
    <row r="10" spans="1:10" x14ac:dyDescent="0.25">
      <c r="B10" t="s">
        <v>9</v>
      </c>
      <c r="C10" s="10" t="s">
        <v>494</v>
      </c>
      <c r="D10" s="10"/>
      <c r="E10" s="10"/>
      <c r="F10" s="10"/>
    </row>
    <row r="11" spans="1:10" x14ac:dyDescent="0.25">
      <c r="B11" t="s">
        <v>11</v>
      </c>
      <c r="C11" s="10" t="s">
        <v>466</v>
      </c>
      <c r="D11" s="11"/>
      <c r="E11" s="11"/>
      <c r="F11" s="11"/>
    </row>
    <row r="12" spans="1:10" x14ac:dyDescent="0.25">
      <c r="A12" s="12"/>
      <c r="B12" s="13"/>
      <c r="C12" s="14" t="s">
        <v>467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469</v>
      </c>
      <c r="C16" s="24" t="s">
        <v>23</v>
      </c>
      <c r="D16" s="25">
        <v>1</v>
      </c>
      <c r="E16" s="26">
        <v>9400</v>
      </c>
      <c r="F16" s="27">
        <f>D16*E16</f>
        <v>9400</v>
      </c>
      <c r="G16" s="27">
        <f>F16*0.19</f>
        <v>1786</v>
      </c>
      <c r="H16" s="39">
        <f>E16*1.19</f>
        <v>11186</v>
      </c>
      <c r="I16" s="27">
        <f>H16*D16</f>
        <v>11186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1</v>
      </c>
      <c r="E18" s="35"/>
      <c r="F18" s="36">
        <f>SUM(F16:F16)</f>
        <v>9400</v>
      </c>
      <c r="G18" s="36">
        <f>SUM(G16:G16)</f>
        <v>1786</v>
      </c>
      <c r="H18" s="35"/>
      <c r="I18" s="36">
        <f>SUM(I16:I16)</f>
        <v>11186</v>
      </c>
      <c r="J18" s="37"/>
    </row>
    <row r="19" spans="1:10" ht="15.75" thickTop="1" x14ac:dyDescent="0.25">
      <c r="A19" s="33"/>
      <c r="B19" s="34" t="s">
        <v>470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471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2C00-000000000000}"/>
  </hyperlinks>
  <pageMargins left="0.2" right="0.1" top="0.25" bottom="0.25" header="0.3" footer="0.3"/>
  <pageSetup paperSize="9" orientation="portrait" r:id="rId2"/>
  <drawing r:id="rId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J25"/>
  <sheetViews>
    <sheetView topLeftCell="A5" workbookViewId="0">
      <selection activeCell="J15" sqref="J1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461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462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108</v>
      </c>
      <c r="C16" s="24" t="s">
        <v>56</v>
      </c>
      <c r="D16" s="25">
        <v>20</v>
      </c>
      <c r="E16" s="26">
        <v>350</v>
      </c>
      <c r="F16" s="27">
        <f>D16*E16</f>
        <v>7000</v>
      </c>
      <c r="G16" s="27">
        <f>F16*0.17</f>
        <v>1190</v>
      </c>
      <c r="H16" s="39">
        <f>E16*1.17</f>
        <v>409.5</v>
      </c>
      <c r="I16" s="27">
        <f>H16*D16</f>
        <v>8190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20</v>
      </c>
      <c r="E18" s="35"/>
      <c r="F18" s="36">
        <f>SUM(F16:F16)</f>
        <v>7000</v>
      </c>
      <c r="G18" s="36">
        <f>SUM(G16:G16)</f>
        <v>1190</v>
      </c>
      <c r="H18" s="35"/>
      <c r="I18" s="36">
        <f>SUM(I16:I16)</f>
        <v>8190</v>
      </c>
      <c r="J18" s="37"/>
    </row>
    <row r="19" spans="1:10" ht="15.75" thickTop="1" x14ac:dyDescent="0.25">
      <c r="A19" s="33"/>
      <c r="B19" s="34" t="s">
        <v>463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2D00-000000000000}"/>
  </hyperlinks>
  <pageMargins left="0.2" right="0.1" top="0.25" bottom="0.25" header="0.3" footer="0.3"/>
  <pageSetup paperSize="9" orientation="portrait" r:id="rId2"/>
  <drawing r:id="rId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J26"/>
  <sheetViews>
    <sheetView topLeftCell="A3" workbookViewId="0">
      <selection activeCell="A17" sqref="A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457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456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458</v>
      </c>
      <c r="C16" s="24" t="s">
        <v>165</v>
      </c>
      <c r="D16" s="25">
        <v>6</v>
      </c>
      <c r="E16" s="26">
        <v>750</v>
      </c>
      <c r="F16" s="27">
        <f t="shared" ref="F16" si="0">D16*E16</f>
        <v>4500</v>
      </c>
      <c r="G16" s="27">
        <f>F16*0.17</f>
        <v>765</v>
      </c>
      <c r="H16" s="39">
        <f>E16*1.17</f>
        <v>877.5</v>
      </c>
      <c r="I16" s="27">
        <f t="shared" ref="I16" si="1">H16*D16</f>
        <v>5265</v>
      </c>
      <c r="J16" s="28"/>
    </row>
    <row r="17" spans="1:10" s="21" customFormat="1" x14ac:dyDescent="0.25">
      <c r="A17" s="22">
        <v>2</v>
      </c>
      <c r="B17" s="23" t="s">
        <v>459</v>
      </c>
      <c r="C17" s="24" t="s">
        <v>269</v>
      </c>
      <c r="D17" s="25">
        <v>3</v>
      </c>
      <c r="E17" s="26">
        <v>650</v>
      </c>
      <c r="F17" s="27">
        <f t="shared" ref="F17" si="2">D17*E17</f>
        <v>1950</v>
      </c>
      <c r="G17" s="27">
        <f>F17*0.17</f>
        <v>331.5</v>
      </c>
      <c r="H17" s="39">
        <f>E17*1.17</f>
        <v>760.5</v>
      </c>
      <c r="I17" s="27">
        <f t="shared" ref="I17" si="3">H17*D17</f>
        <v>2281.5</v>
      </c>
      <c r="J17" s="28"/>
    </row>
    <row r="18" spans="1:10" s="21" customFormat="1" x14ac:dyDescent="0.25">
      <c r="A18" s="29"/>
      <c r="B18" s="30"/>
      <c r="C18" s="31"/>
      <c r="D18" s="25"/>
      <c r="E18" s="26"/>
      <c r="F18" s="32"/>
      <c r="G18" s="32"/>
      <c r="H18" s="26"/>
      <c r="I18" s="32"/>
      <c r="J18" s="28"/>
    </row>
    <row r="19" spans="1:10" ht="15.75" thickBot="1" x14ac:dyDescent="0.3">
      <c r="A19" s="33"/>
      <c r="B19" s="34" t="s">
        <v>24</v>
      </c>
      <c r="C19" s="35"/>
      <c r="D19" s="36">
        <f>SUM(D16:D17)</f>
        <v>9</v>
      </c>
      <c r="E19" s="35"/>
      <c r="F19" s="36">
        <f>SUM(F16:F17)</f>
        <v>6450</v>
      </c>
      <c r="G19" s="36">
        <f>SUM(G16:G17)</f>
        <v>1096.5</v>
      </c>
      <c r="H19" s="35"/>
      <c r="I19" s="36">
        <f>SUM(I16:I17)</f>
        <v>7546.5</v>
      </c>
      <c r="J19" s="37"/>
    </row>
    <row r="20" spans="1:10" ht="15.75" thickTop="1" x14ac:dyDescent="0.25">
      <c r="A20" s="33"/>
      <c r="B20" s="34" t="s">
        <v>460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27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mergeCells count="5">
    <mergeCell ref="A6:J6"/>
    <mergeCell ref="I7:J7"/>
    <mergeCell ref="I8:J8"/>
    <mergeCell ref="I9:J9"/>
    <mergeCell ref="B22:J22"/>
  </mergeCells>
  <hyperlinks>
    <hyperlink ref="H5" r:id="rId1" xr:uid="{00000000-0004-0000-2E00-000000000000}"/>
  </hyperlinks>
  <pageMargins left="0.2" right="0.1" top="0.25" bottom="0.2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F0F5E-7987-4266-9532-3DFB35001F2A}">
  <dimension ref="A1:R33"/>
  <sheetViews>
    <sheetView workbookViewId="0">
      <selection activeCell="A17" sqref="A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2312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2313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2348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2346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2342</v>
      </c>
      <c r="J9" s="188"/>
    </row>
    <row r="10" spans="1:14" x14ac:dyDescent="0.25">
      <c r="B10" t="s">
        <v>9</v>
      </c>
      <c r="C10" s="139" t="s">
        <v>2343</v>
      </c>
      <c r="D10" s="10"/>
      <c r="E10" s="10"/>
      <c r="F10" s="10"/>
    </row>
    <row r="11" spans="1:14" x14ac:dyDescent="0.25">
      <c r="B11" t="s">
        <v>11</v>
      </c>
      <c r="C11" s="132" t="s">
        <v>2344</v>
      </c>
      <c r="D11" s="11"/>
      <c r="E11" s="11"/>
      <c r="F11" s="11"/>
    </row>
    <row r="12" spans="1:14" x14ac:dyDescent="0.25">
      <c r="A12" s="12"/>
      <c r="B12" s="13"/>
      <c r="C12" s="140" t="s">
        <v>2347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189" t="s">
        <v>14</v>
      </c>
      <c r="C15" s="189"/>
      <c r="D15" s="76" t="s">
        <v>15</v>
      </c>
      <c r="E15" s="76" t="s">
        <v>16</v>
      </c>
      <c r="F15" s="76" t="s">
        <v>2353</v>
      </c>
      <c r="G15" s="76" t="s">
        <v>1083</v>
      </c>
      <c r="H15" s="76" t="s">
        <v>21</v>
      </c>
      <c r="I15" s="190" t="s">
        <v>22</v>
      </c>
      <c r="J15" s="191"/>
    </row>
    <row r="16" spans="1:14" s="21" customFormat="1" x14ac:dyDescent="0.25">
      <c r="A16" s="53">
        <v>1</v>
      </c>
      <c r="B16" s="180" t="s">
        <v>1379</v>
      </c>
      <c r="C16" s="180"/>
      <c r="D16" s="53" t="s">
        <v>23</v>
      </c>
      <c r="E16" s="79">
        <v>1</v>
      </c>
      <c r="F16" s="56">
        <v>100</v>
      </c>
      <c r="G16" s="149">
        <f t="shared" ref="G16:G23" si="0">F16*0.17</f>
        <v>17</v>
      </c>
      <c r="H16" s="56">
        <f>(F16+G16)*E16</f>
        <v>117</v>
      </c>
      <c r="I16" s="178"/>
      <c r="J16" s="179"/>
      <c r="N16" s="66"/>
    </row>
    <row r="17" spans="1:18" s="21" customFormat="1" x14ac:dyDescent="0.25">
      <c r="A17" s="53">
        <v>1</v>
      </c>
      <c r="B17" s="180" t="s">
        <v>2349</v>
      </c>
      <c r="C17" s="180"/>
      <c r="D17" s="53" t="s">
        <v>76</v>
      </c>
      <c r="E17" s="79">
        <v>10</v>
      </c>
      <c r="F17" s="56">
        <v>280</v>
      </c>
      <c r="G17" s="149">
        <f t="shared" si="0"/>
        <v>47.6</v>
      </c>
      <c r="H17" s="56">
        <f t="shared" ref="H17:H23" si="1">(F17+G17)*E17</f>
        <v>3276</v>
      </c>
      <c r="I17" s="178"/>
      <c r="J17" s="179"/>
      <c r="N17" s="66"/>
    </row>
    <row r="18" spans="1:18" s="21" customFormat="1" x14ac:dyDescent="0.25">
      <c r="A18" s="53">
        <v>1</v>
      </c>
      <c r="B18" s="180" t="s">
        <v>1379</v>
      </c>
      <c r="C18" s="180"/>
      <c r="D18" s="53" t="s">
        <v>23</v>
      </c>
      <c r="E18" s="79">
        <v>3</v>
      </c>
      <c r="F18" s="56">
        <v>100</v>
      </c>
      <c r="G18" s="149">
        <f t="shared" si="0"/>
        <v>17</v>
      </c>
      <c r="H18" s="56">
        <f t="shared" si="1"/>
        <v>351</v>
      </c>
      <c r="I18" s="178"/>
      <c r="J18" s="179"/>
      <c r="N18" s="66"/>
    </row>
    <row r="19" spans="1:18" s="21" customFormat="1" x14ac:dyDescent="0.25">
      <c r="A19" s="53">
        <v>1</v>
      </c>
      <c r="B19" s="180" t="s">
        <v>2350</v>
      </c>
      <c r="C19" s="180"/>
      <c r="D19" s="53" t="s">
        <v>23</v>
      </c>
      <c r="E19" s="79">
        <v>3</v>
      </c>
      <c r="F19" s="56">
        <v>180</v>
      </c>
      <c r="G19" s="149">
        <f t="shared" si="0"/>
        <v>30.6</v>
      </c>
      <c r="H19" s="56">
        <f t="shared" si="1"/>
        <v>631.79999999999995</v>
      </c>
      <c r="I19" s="178"/>
      <c r="J19" s="179"/>
      <c r="N19" s="66"/>
    </row>
    <row r="20" spans="1:18" s="21" customFormat="1" x14ac:dyDescent="0.25">
      <c r="A20" s="53">
        <v>1</v>
      </c>
      <c r="B20" s="180" t="s">
        <v>377</v>
      </c>
      <c r="C20" s="180"/>
      <c r="D20" s="53" t="s">
        <v>23</v>
      </c>
      <c r="E20" s="79">
        <v>50</v>
      </c>
      <c r="F20" s="56">
        <v>125</v>
      </c>
      <c r="G20" s="149">
        <f t="shared" si="0"/>
        <v>21.25</v>
      </c>
      <c r="H20" s="56">
        <f t="shared" si="1"/>
        <v>7312.5</v>
      </c>
      <c r="I20" s="178"/>
      <c r="J20" s="179"/>
      <c r="N20" s="66"/>
    </row>
    <row r="21" spans="1:18" s="21" customFormat="1" x14ac:dyDescent="0.25">
      <c r="A21" s="53">
        <v>1</v>
      </c>
      <c r="B21" s="180" t="s">
        <v>2351</v>
      </c>
      <c r="C21" s="180"/>
      <c r="D21" s="53" t="s">
        <v>23</v>
      </c>
      <c r="E21" s="79">
        <v>35</v>
      </c>
      <c r="F21" s="56">
        <v>148</v>
      </c>
      <c r="G21" s="149">
        <f t="shared" si="0"/>
        <v>25.16</v>
      </c>
      <c r="H21" s="56">
        <f t="shared" si="1"/>
        <v>6060.5999999999995</v>
      </c>
      <c r="I21" s="178"/>
      <c r="J21" s="179"/>
      <c r="N21" s="66"/>
    </row>
    <row r="22" spans="1:18" s="21" customFormat="1" x14ac:dyDescent="0.25">
      <c r="A22" s="53">
        <v>1</v>
      </c>
      <c r="B22" s="180" t="s">
        <v>1379</v>
      </c>
      <c r="C22" s="180"/>
      <c r="D22" s="53" t="s">
        <v>23</v>
      </c>
      <c r="E22" s="79">
        <v>50</v>
      </c>
      <c r="F22" s="56">
        <v>100</v>
      </c>
      <c r="G22" s="149">
        <f t="shared" si="0"/>
        <v>17</v>
      </c>
      <c r="H22" s="56">
        <f t="shared" si="1"/>
        <v>5850</v>
      </c>
      <c r="I22" s="178"/>
      <c r="J22" s="179"/>
      <c r="N22" s="66"/>
    </row>
    <row r="23" spans="1:18" s="21" customFormat="1" x14ac:dyDescent="0.25">
      <c r="A23" s="53">
        <v>1</v>
      </c>
      <c r="B23" s="180" t="s">
        <v>2352</v>
      </c>
      <c r="C23" s="180"/>
      <c r="D23" s="53" t="s">
        <v>23</v>
      </c>
      <c r="E23" s="79">
        <v>50</v>
      </c>
      <c r="F23" s="56">
        <v>168</v>
      </c>
      <c r="G23" s="149">
        <f t="shared" si="0"/>
        <v>28.560000000000002</v>
      </c>
      <c r="H23" s="56">
        <f t="shared" si="1"/>
        <v>9828</v>
      </c>
      <c r="I23" s="178"/>
      <c r="J23" s="179"/>
      <c r="N23" s="66"/>
    </row>
    <row r="24" spans="1:18" s="21" customFormat="1" ht="15.75" customHeight="1" x14ac:dyDescent="0.25">
      <c r="A24" s="53"/>
      <c r="B24" s="181"/>
      <c r="C24" s="182"/>
      <c r="D24" s="79"/>
      <c r="E24" s="56"/>
      <c r="F24" s="56"/>
      <c r="G24" s="149"/>
      <c r="H24" s="85"/>
      <c r="I24" s="178"/>
      <c r="J24" s="179"/>
      <c r="N24" s="66"/>
    </row>
    <row r="25" spans="1:18" ht="15.75" thickBot="1" x14ac:dyDescent="0.3">
      <c r="A25" s="33"/>
      <c r="B25" s="34" t="s">
        <v>24</v>
      </c>
      <c r="C25" s="35"/>
      <c r="E25" s="62">
        <f>SUM(E16:E23)</f>
        <v>202</v>
      </c>
      <c r="F25" s="62">
        <f>SUM(F16:F23)</f>
        <v>1201</v>
      </c>
      <c r="G25" s="62">
        <f>SUM(G16:G23)</f>
        <v>204.17</v>
      </c>
      <c r="H25" s="62">
        <f>SUM(H16:H23)</f>
        <v>33426.899999999994</v>
      </c>
      <c r="J25" s="37"/>
    </row>
    <row r="26" spans="1:18" ht="15.75" thickTop="1" x14ac:dyDescent="0.25">
      <c r="A26" s="33"/>
      <c r="B26" s="34" t="s">
        <v>2345</v>
      </c>
      <c r="C26" s="35"/>
      <c r="D26" s="35"/>
      <c r="E26" s="35"/>
      <c r="F26" s="35"/>
      <c r="G26" s="35"/>
      <c r="H26" s="35"/>
      <c r="I26" s="35"/>
      <c r="J26" s="37"/>
    </row>
    <row r="27" spans="1:18" x14ac:dyDescent="0.25">
      <c r="A27" s="33"/>
      <c r="B27" s="38" t="s">
        <v>25</v>
      </c>
      <c r="C27" s="35"/>
      <c r="D27" s="35"/>
      <c r="E27" s="35"/>
      <c r="F27" s="35"/>
      <c r="G27" s="35"/>
      <c r="H27" s="35"/>
      <c r="I27" s="35"/>
      <c r="J27" s="37"/>
      <c r="M27" s="64"/>
      <c r="O27" s="65"/>
      <c r="P27" s="64"/>
      <c r="Q27" s="64"/>
      <c r="R27" s="64"/>
    </row>
    <row r="28" spans="1:18" ht="30" customHeight="1" x14ac:dyDescent="0.25">
      <c r="B28" s="183"/>
      <c r="C28" s="183"/>
      <c r="D28" s="183"/>
      <c r="E28" s="183"/>
      <c r="F28" s="183"/>
      <c r="G28" s="183"/>
      <c r="H28" s="183"/>
      <c r="I28" s="183"/>
      <c r="J28" s="183"/>
      <c r="P28" s="64"/>
      <c r="R28" s="65"/>
    </row>
    <row r="32" spans="1:18" x14ac:dyDescent="0.25">
      <c r="B32" t="s">
        <v>28</v>
      </c>
      <c r="H32" t="s">
        <v>28</v>
      </c>
    </row>
    <row r="33" spans="2:8" x14ac:dyDescent="0.25">
      <c r="B33" t="s">
        <v>29</v>
      </c>
      <c r="H33" t="s">
        <v>30</v>
      </c>
    </row>
  </sheetData>
  <autoFilter ref="A15:J29" xr:uid="{00000000-0009-0000-0000-000000000000}"/>
  <mergeCells count="25">
    <mergeCell ref="A6:J6"/>
    <mergeCell ref="I7:J7"/>
    <mergeCell ref="I8:J8"/>
    <mergeCell ref="I9:J9"/>
    <mergeCell ref="B15:C15"/>
    <mergeCell ref="I15:J15"/>
    <mergeCell ref="B16:C16"/>
    <mergeCell ref="I16:J16"/>
    <mergeCell ref="B22:C22"/>
    <mergeCell ref="I22:J22"/>
    <mergeCell ref="B17:C17"/>
    <mergeCell ref="B23:C23"/>
    <mergeCell ref="I23:J23"/>
    <mergeCell ref="B24:C24"/>
    <mergeCell ref="I24:J24"/>
    <mergeCell ref="B28:J28"/>
    <mergeCell ref="I17:J17"/>
    <mergeCell ref="B21:C21"/>
    <mergeCell ref="I21:J21"/>
    <mergeCell ref="B18:C18"/>
    <mergeCell ref="I18:J18"/>
    <mergeCell ref="B19:C19"/>
    <mergeCell ref="I19:J19"/>
    <mergeCell ref="B20:C20"/>
    <mergeCell ref="I20:J20"/>
  </mergeCells>
  <hyperlinks>
    <hyperlink ref="H5" r:id="rId1" xr:uid="{5C16787C-3CAA-4F90-A3F6-779FA8A609DB}"/>
  </hyperlinks>
  <pageMargins left="0.2" right="0.1" top="0.25" bottom="0.25" header="0.3" footer="0.3"/>
  <pageSetup paperSize="9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D6BA7-7DF9-45A6-AB54-F960993E3EDE}">
  <dimension ref="A1:R28"/>
  <sheetViews>
    <sheetView topLeftCell="A20" workbookViewId="0">
      <selection activeCell="A36" sqref="A3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2254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1528</v>
      </c>
      <c r="C16" s="53" t="s">
        <v>23</v>
      </c>
      <c r="D16" s="79">
        <v>2</v>
      </c>
      <c r="E16" s="56">
        <v>100</v>
      </c>
      <c r="F16" s="56">
        <f t="shared" ref="F16:F18" si="0">D16*E16</f>
        <v>200</v>
      </c>
      <c r="G16" s="149">
        <f t="shared" ref="G16" si="1">F16*0.17</f>
        <v>34</v>
      </c>
      <c r="H16" s="85">
        <f t="shared" ref="H16" si="2">E16*1.17</f>
        <v>117</v>
      </c>
      <c r="I16" s="56">
        <f t="shared" ref="I16:I18" si="3">H16*D16</f>
        <v>234</v>
      </c>
      <c r="J16" s="83"/>
      <c r="N16" s="66"/>
    </row>
    <row r="17" spans="1:18" s="21" customFormat="1" ht="15.75" x14ac:dyDescent="0.25">
      <c r="A17" s="53">
        <v>2</v>
      </c>
      <c r="B17" s="78" t="s">
        <v>1529</v>
      </c>
      <c r="C17" s="53" t="s">
        <v>23</v>
      </c>
      <c r="D17" s="79">
        <v>2</v>
      </c>
      <c r="E17" s="56">
        <v>28</v>
      </c>
      <c r="F17" s="56">
        <f t="shared" si="0"/>
        <v>56</v>
      </c>
      <c r="G17" s="149">
        <f t="shared" ref="G17:G18" si="4">F17*0</f>
        <v>0</v>
      </c>
      <c r="H17" s="85">
        <f t="shared" ref="H17:H18" si="5">E17*1</f>
        <v>28</v>
      </c>
      <c r="I17" s="56">
        <f t="shared" si="3"/>
        <v>56</v>
      </c>
      <c r="J17" s="83"/>
      <c r="N17" s="66"/>
    </row>
    <row r="18" spans="1:18" s="21" customFormat="1" ht="15.75" x14ac:dyDescent="0.25">
      <c r="A18" s="53">
        <v>3</v>
      </c>
      <c r="B18" s="78" t="s">
        <v>1949</v>
      </c>
      <c r="C18" s="53" t="s">
        <v>76</v>
      </c>
      <c r="D18" s="79">
        <v>4</v>
      </c>
      <c r="E18" s="56">
        <v>75</v>
      </c>
      <c r="F18" s="56">
        <f t="shared" si="0"/>
        <v>300</v>
      </c>
      <c r="G18" s="149">
        <f t="shared" si="4"/>
        <v>0</v>
      </c>
      <c r="H18" s="85">
        <f t="shared" si="5"/>
        <v>75</v>
      </c>
      <c r="I18" s="56">
        <f t="shared" si="3"/>
        <v>300</v>
      </c>
      <c r="J18" s="83"/>
      <c r="N18" s="66"/>
    </row>
    <row r="19" spans="1:18" s="21" customFormat="1" ht="15.75" x14ac:dyDescent="0.25">
      <c r="A19" s="53"/>
      <c r="B19" s="78"/>
      <c r="C19" s="53"/>
      <c r="D19" s="79"/>
      <c r="E19" s="56"/>
      <c r="F19" s="56"/>
      <c r="G19" s="149"/>
      <c r="H19" s="85"/>
      <c r="I19" s="56"/>
      <c r="J19" s="83"/>
      <c r="N19" s="66"/>
    </row>
    <row r="20" spans="1:18" ht="15.75" thickBot="1" x14ac:dyDescent="0.3">
      <c r="A20" s="33"/>
      <c r="B20" s="34" t="s">
        <v>24</v>
      </c>
      <c r="C20" s="35"/>
      <c r="D20" s="62">
        <f>SUM(D16:D19)</f>
        <v>8</v>
      </c>
      <c r="E20" s="35"/>
      <c r="F20" s="62">
        <f>SUM(F16:F19)</f>
        <v>556</v>
      </c>
      <c r="G20" s="62">
        <f>SUM(G16:G19)</f>
        <v>34</v>
      </c>
      <c r="H20" s="35"/>
      <c r="I20" s="62">
        <f>SUM(I16:I19)</f>
        <v>590</v>
      </c>
      <c r="J20" s="37"/>
    </row>
    <row r="21" spans="1:18" ht="15.75" thickTop="1" x14ac:dyDescent="0.25">
      <c r="A21" s="33"/>
      <c r="B21" s="34" t="s">
        <v>2253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/>
      <c r="O22" s="65"/>
      <c r="P22" s="64"/>
      <c r="Q22" s="64"/>
      <c r="R22" s="64"/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/>
    </row>
    <row r="24" spans="1:18" x14ac:dyDescent="0.25">
      <c r="B24" t="s">
        <v>634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1D7445A0-F66E-487E-ADC2-89BE41DBB3EA}"/>
  </hyperlinks>
  <pageMargins left="0.2" right="0.1" top="0.25" bottom="0.25" header="0.3" footer="0.3"/>
  <pageSetup paperSize="9" orientation="portrait" r:id="rId2"/>
  <drawing r:id="rId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J25"/>
  <sheetViews>
    <sheetView workbookViewId="0">
      <selection activeCell="E12" sqref="E1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455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454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432</v>
      </c>
      <c r="C16" s="24" t="s">
        <v>269</v>
      </c>
      <c r="D16" s="25">
        <v>50</v>
      </c>
      <c r="E16" s="26">
        <v>278</v>
      </c>
      <c r="F16" s="27">
        <f t="shared" ref="F16" si="0">D16*E16</f>
        <v>13900</v>
      </c>
      <c r="G16" s="27">
        <f>F16*0.17</f>
        <v>2363</v>
      </c>
      <c r="H16" s="39">
        <f>E16*1.17</f>
        <v>325.26</v>
      </c>
      <c r="I16" s="27">
        <f t="shared" ref="I16" si="1">H16*D16</f>
        <v>16263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50</v>
      </c>
      <c r="E18" s="35"/>
      <c r="F18" s="36">
        <f>SUM(F16:F16)</f>
        <v>13900</v>
      </c>
      <c r="G18" s="36">
        <f>SUM(G16:G16)</f>
        <v>2363</v>
      </c>
      <c r="H18" s="35"/>
      <c r="I18" s="36">
        <f>SUM(I16:I16)</f>
        <v>16263</v>
      </c>
      <c r="J18" s="37"/>
    </row>
    <row r="19" spans="1:10" ht="15.75" thickTop="1" x14ac:dyDescent="0.25">
      <c r="A19" s="33"/>
      <c r="B19" s="34" t="s">
        <v>433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2F00-000000000000}"/>
  </hyperlinks>
  <pageMargins left="0.2" right="0.1" top="0.25" bottom="0.25" header="0.3" footer="0.3"/>
  <pageSetup paperSize="9" orientation="portrait" r:id="rId2"/>
  <drawing r:id="rId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J27"/>
  <sheetViews>
    <sheetView workbookViewId="0">
      <selection activeCell="C14" sqref="C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449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450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134</v>
      </c>
      <c r="D10" s="10"/>
      <c r="E10" s="10"/>
      <c r="F10" s="10"/>
    </row>
    <row r="11" spans="1:10" x14ac:dyDescent="0.25">
      <c r="B11" t="s">
        <v>11</v>
      </c>
      <c r="C11" s="10" t="s">
        <v>135</v>
      </c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 t="s">
        <v>137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451</v>
      </c>
      <c r="C16" s="24" t="s">
        <v>23</v>
      </c>
      <c r="D16" s="25">
        <v>6</v>
      </c>
      <c r="E16" s="40">
        <f>222.3/117*100</f>
        <v>190</v>
      </c>
      <c r="F16" s="27">
        <f t="shared" ref="F16:F17" si="0">D16*E16</f>
        <v>1140</v>
      </c>
      <c r="G16" s="27">
        <f>F16*0.17</f>
        <v>193.8</v>
      </c>
      <c r="H16" s="39">
        <f>E16*1.17</f>
        <v>222.29999999999998</v>
      </c>
      <c r="I16" s="27">
        <f t="shared" ref="I16:I17" si="1">H16*D16</f>
        <v>1333.8</v>
      </c>
      <c r="J16" s="28"/>
    </row>
    <row r="17" spans="1:10" s="21" customFormat="1" x14ac:dyDescent="0.25">
      <c r="A17" s="22">
        <v>2</v>
      </c>
      <c r="B17" s="23" t="s">
        <v>452</v>
      </c>
      <c r="C17" s="24" t="s">
        <v>23</v>
      </c>
      <c r="D17" s="25">
        <v>6</v>
      </c>
      <c r="E17" s="40">
        <f>128.7/117*100</f>
        <v>109.99999999999999</v>
      </c>
      <c r="F17" s="27">
        <f t="shared" si="0"/>
        <v>659.99999999999989</v>
      </c>
      <c r="G17" s="27">
        <f>F17*0.17</f>
        <v>112.19999999999999</v>
      </c>
      <c r="H17" s="39">
        <f>E17*1.17</f>
        <v>128.69999999999999</v>
      </c>
      <c r="I17" s="27">
        <f t="shared" si="1"/>
        <v>772.19999999999993</v>
      </c>
      <c r="J17" s="28"/>
    </row>
    <row r="18" spans="1:10" s="21" customFormat="1" x14ac:dyDescent="0.25">
      <c r="A18" s="22">
        <v>3</v>
      </c>
      <c r="B18" s="23" t="s">
        <v>204</v>
      </c>
      <c r="C18" s="24" t="s">
        <v>23</v>
      </c>
      <c r="D18" s="25">
        <v>2</v>
      </c>
      <c r="E18" s="40">
        <f>585/117*100</f>
        <v>500</v>
      </c>
      <c r="F18" s="27">
        <f t="shared" ref="F18" si="2">D18*E18</f>
        <v>1000</v>
      </c>
      <c r="G18" s="27">
        <f>F18*0.17</f>
        <v>170</v>
      </c>
      <c r="H18" s="39">
        <f>E18*1.17</f>
        <v>585</v>
      </c>
      <c r="I18" s="27">
        <f t="shared" ref="I18" si="3">H18*D18</f>
        <v>1170</v>
      </c>
      <c r="J18" s="28"/>
    </row>
    <row r="19" spans="1:10" s="21" customFormat="1" x14ac:dyDescent="0.25">
      <c r="A19" s="29"/>
      <c r="B19" s="30"/>
      <c r="C19" s="31"/>
      <c r="D19" s="25"/>
      <c r="E19" s="26"/>
      <c r="F19" s="32"/>
      <c r="G19" s="32"/>
      <c r="H19" s="26"/>
      <c r="I19" s="32"/>
      <c r="J19" s="28"/>
    </row>
    <row r="20" spans="1:10" ht="15.75" thickBot="1" x14ac:dyDescent="0.3">
      <c r="A20" s="33"/>
      <c r="B20" s="34" t="s">
        <v>24</v>
      </c>
      <c r="C20" s="35"/>
      <c r="D20" s="36">
        <f>SUM(D16:D18)</f>
        <v>14</v>
      </c>
      <c r="E20" s="35"/>
      <c r="F20" s="36">
        <f>SUM(F16:F18)</f>
        <v>2800</v>
      </c>
      <c r="G20" s="36">
        <f>SUM(G16:G18)</f>
        <v>476</v>
      </c>
      <c r="H20" s="35"/>
      <c r="I20" s="36">
        <f>SUM(I16:I18)</f>
        <v>3276</v>
      </c>
      <c r="J20" s="37"/>
    </row>
    <row r="21" spans="1:10" ht="15.75" thickTop="1" x14ac:dyDescent="0.25">
      <c r="A21" s="33"/>
      <c r="B21" s="34" t="s">
        <v>453</v>
      </c>
      <c r="C21" s="35"/>
      <c r="D21" s="35"/>
      <c r="E21" s="35"/>
      <c r="F21" s="35"/>
      <c r="G21" s="35"/>
      <c r="H21" s="35"/>
      <c r="I21" s="35"/>
      <c r="J21" s="37"/>
    </row>
    <row r="22" spans="1:10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</row>
    <row r="23" spans="1:10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</row>
    <row r="24" spans="1:10" x14ac:dyDescent="0.25">
      <c r="B24" t="s">
        <v>27</v>
      </c>
    </row>
    <row r="26" spans="1:10" x14ac:dyDescent="0.25">
      <c r="B26" t="s">
        <v>28</v>
      </c>
      <c r="H26" t="s">
        <v>28</v>
      </c>
    </row>
    <row r="27" spans="1:10" x14ac:dyDescent="0.25">
      <c r="B27" t="s">
        <v>29</v>
      </c>
      <c r="H27" t="s">
        <v>30</v>
      </c>
    </row>
  </sheetData>
  <mergeCells count="5">
    <mergeCell ref="A6:J6"/>
    <mergeCell ref="I7:J7"/>
    <mergeCell ref="I8:J8"/>
    <mergeCell ref="I9:J9"/>
    <mergeCell ref="B23:J23"/>
  </mergeCells>
  <hyperlinks>
    <hyperlink ref="H5" r:id="rId1" xr:uid="{00000000-0004-0000-3000-000000000000}"/>
  </hyperlinks>
  <pageMargins left="0.2" right="0.1" top="0.25" bottom="0.25" header="0.3" footer="0.3"/>
  <pageSetup paperSize="9" orientation="portrait" r:id="rId2"/>
  <drawing r:id="rId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J33"/>
  <sheetViews>
    <sheetView workbookViewId="0">
      <selection activeCell="D12" sqref="D1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438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437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439</v>
      </c>
      <c r="C16" s="24" t="s">
        <v>23</v>
      </c>
      <c r="D16" s="25">
        <v>30</v>
      </c>
      <c r="E16" s="26">
        <v>30</v>
      </c>
      <c r="F16" s="27">
        <f t="shared" ref="F16" si="0">D16*E16</f>
        <v>900</v>
      </c>
      <c r="G16" s="27">
        <f>F16*0.17</f>
        <v>153</v>
      </c>
      <c r="H16" s="39">
        <f>E16*1.17</f>
        <v>35.099999999999994</v>
      </c>
      <c r="I16" s="27">
        <f t="shared" ref="I16" si="1">H16*D16</f>
        <v>1052.9999999999998</v>
      </c>
      <c r="J16" s="28"/>
    </row>
    <row r="17" spans="1:10" s="21" customFormat="1" x14ac:dyDescent="0.25">
      <c r="A17" s="22">
        <v>2</v>
      </c>
      <c r="B17" s="23" t="s">
        <v>440</v>
      </c>
      <c r="C17" s="24" t="s">
        <v>165</v>
      </c>
      <c r="D17" s="25">
        <v>10</v>
      </c>
      <c r="E17" s="26">
        <v>55</v>
      </c>
      <c r="F17" s="27">
        <f t="shared" ref="F17:F24" si="2">D17*E17</f>
        <v>550</v>
      </c>
      <c r="G17" s="27">
        <f>F17*0</f>
        <v>0</v>
      </c>
      <c r="H17" s="39">
        <f>E17*1</f>
        <v>55</v>
      </c>
      <c r="I17" s="27">
        <f t="shared" ref="I17:I24" si="3">H17*D17</f>
        <v>550</v>
      </c>
      <c r="J17" s="28"/>
    </row>
    <row r="18" spans="1:10" s="21" customFormat="1" x14ac:dyDescent="0.25">
      <c r="A18" s="22">
        <v>3</v>
      </c>
      <c r="B18" s="23" t="s">
        <v>441</v>
      </c>
      <c r="C18" s="24" t="s">
        <v>165</v>
      </c>
      <c r="D18" s="25">
        <v>1</v>
      </c>
      <c r="E18" s="26">
        <v>380</v>
      </c>
      <c r="F18" s="27">
        <f t="shared" si="2"/>
        <v>380</v>
      </c>
      <c r="G18" s="27">
        <f t="shared" ref="G18:G24" si="4">F18*0.17</f>
        <v>64.600000000000009</v>
      </c>
      <c r="H18" s="39">
        <f t="shared" ref="H18:H24" si="5">E18*1.17</f>
        <v>444.59999999999997</v>
      </c>
      <c r="I18" s="27">
        <f t="shared" si="3"/>
        <v>444.59999999999997</v>
      </c>
      <c r="J18" s="28"/>
    </row>
    <row r="19" spans="1:10" s="21" customFormat="1" x14ac:dyDescent="0.25">
      <c r="A19" s="22">
        <v>4</v>
      </c>
      <c r="B19" s="23" t="s">
        <v>442</v>
      </c>
      <c r="C19" s="24" t="s">
        <v>23</v>
      </c>
      <c r="D19" s="25">
        <v>5</v>
      </c>
      <c r="E19" s="26">
        <v>45</v>
      </c>
      <c r="F19" s="27">
        <f t="shared" si="2"/>
        <v>225</v>
      </c>
      <c r="G19" s="27">
        <f t="shared" si="4"/>
        <v>38.25</v>
      </c>
      <c r="H19" s="39">
        <f t="shared" si="5"/>
        <v>52.65</v>
      </c>
      <c r="I19" s="27">
        <f t="shared" si="3"/>
        <v>263.25</v>
      </c>
      <c r="J19" s="28"/>
    </row>
    <row r="20" spans="1:10" s="21" customFormat="1" x14ac:dyDescent="0.25">
      <c r="A20" s="22">
        <v>5</v>
      </c>
      <c r="B20" s="23" t="s">
        <v>443</v>
      </c>
      <c r="C20" s="24" t="s">
        <v>165</v>
      </c>
      <c r="D20" s="25">
        <v>2</v>
      </c>
      <c r="E20" s="26">
        <v>300</v>
      </c>
      <c r="F20" s="27">
        <f t="shared" si="2"/>
        <v>600</v>
      </c>
      <c r="G20" s="27">
        <f t="shared" si="4"/>
        <v>102.00000000000001</v>
      </c>
      <c r="H20" s="39">
        <f t="shared" si="5"/>
        <v>351</v>
      </c>
      <c r="I20" s="27">
        <f t="shared" si="3"/>
        <v>702</v>
      </c>
      <c r="J20" s="28"/>
    </row>
    <row r="21" spans="1:10" s="21" customFormat="1" x14ac:dyDescent="0.25">
      <c r="A21" s="22">
        <v>6</v>
      </c>
      <c r="B21" s="23" t="s">
        <v>444</v>
      </c>
      <c r="C21" s="24" t="s">
        <v>165</v>
      </c>
      <c r="D21" s="25">
        <v>50</v>
      </c>
      <c r="E21" s="26">
        <v>95</v>
      </c>
      <c r="F21" s="27">
        <f t="shared" si="2"/>
        <v>4750</v>
      </c>
      <c r="G21" s="27">
        <f t="shared" si="4"/>
        <v>807.50000000000011</v>
      </c>
      <c r="H21" s="39">
        <f t="shared" si="5"/>
        <v>111.14999999999999</v>
      </c>
      <c r="I21" s="27">
        <f t="shared" si="3"/>
        <v>5557.5</v>
      </c>
      <c r="J21" s="28"/>
    </row>
    <row r="22" spans="1:10" s="21" customFormat="1" x14ac:dyDescent="0.25">
      <c r="A22" s="22">
        <v>7</v>
      </c>
      <c r="B22" s="23" t="s">
        <v>445</v>
      </c>
      <c r="C22" s="24" t="s">
        <v>23</v>
      </c>
      <c r="D22" s="25">
        <v>6</v>
      </c>
      <c r="E22" s="26">
        <v>190</v>
      </c>
      <c r="F22" s="27">
        <f t="shared" si="2"/>
        <v>1140</v>
      </c>
      <c r="G22" s="27">
        <f t="shared" si="4"/>
        <v>193.8</v>
      </c>
      <c r="H22" s="39">
        <f t="shared" si="5"/>
        <v>222.29999999999998</v>
      </c>
      <c r="I22" s="27">
        <f t="shared" si="3"/>
        <v>1333.8</v>
      </c>
      <c r="J22" s="28"/>
    </row>
    <row r="23" spans="1:10" s="21" customFormat="1" x14ac:dyDescent="0.25">
      <c r="A23" s="22">
        <v>8</v>
      </c>
      <c r="B23" s="23" t="s">
        <v>446</v>
      </c>
      <c r="C23" s="24" t="s">
        <v>23</v>
      </c>
      <c r="D23" s="25">
        <v>5</v>
      </c>
      <c r="E23" s="26">
        <v>350</v>
      </c>
      <c r="F23" s="27">
        <f t="shared" si="2"/>
        <v>1750</v>
      </c>
      <c r="G23" s="27">
        <f t="shared" si="4"/>
        <v>297.5</v>
      </c>
      <c r="H23" s="39">
        <f t="shared" si="5"/>
        <v>409.5</v>
      </c>
      <c r="I23" s="27">
        <f t="shared" si="3"/>
        <v>2047.5</v>
      </c>
      <c r="J23" s="28"/>
    </row>
    <row r="24" spans="1:10" s="21" customFormat="1" x14ac:dyDescent="0.25">
      <c r="A24" s="22">
        <v>9</v>
      </c>
      <c r="B24" s="23" t="s">
        <v>447</v>
      </c>
      <c r="C24" s="24" t="s">
        <v>165</v>
      </c>
      <c r="D24" s="25">
        <v>1</v>
      </c>
      <c r="E24" s="26">
        <v>600</v>
      </c>
      <c r="F24" s="27">
        <f t="shared" si="2"/>
        <v>600</v>
      </c>
      <c r="G24" s="27">
        <f t="shared" si="4"/>
        <v>102.00000000000001</v>
      </c>
      <c r="H24" s="39">
        <f t="shared" si="5"/>
        <v>702</v>
      </c>
      <c r="I24" s="27">
        <f t="shared" si="3"/>
        <v>702</v>
      </c>
      <c r="J24" s="28"/>
    </row>
    <row r="25" spans="1:10" s="21" customFormat="1" x14ac:dyDescent="0.25">
      <c r="A25" s="29"/>
      <c r="B25" s="30"/>
      <c r="C25" s="31"/>
      <c r="D25" s="25"/>
      <c r="E25" s="26"/>
      <c r="F25" s="32"/>
      <c r="G25" s="32"/>
      <c r="H25" s="26"/>
      <c r="I25" s="32"/>
      <c r="J25" s="28"/>
    </row>
    <row r="26" spans="1:10" ht="15.75" thickBot="1" x14ac:dyDescent="0.3">
      <c r="A26" s="33"/>
      <c r="B26" s="34" t="s">
        <v>24</v>
      </c>
      <c r="C26" s="35"/>
      <c r="D26" s="36">
        <f>SUM(D16:D24)</f>
        <v>110</v>
      </c>
      <c r="E26" s="35"/>
      <c r="F26" s="36">
        <f>SUM(F16:F24)</f>
        <v>10895</v>
      </c>
      <c r="G26" s="36">
        <f>SUM(G16:G24)</f>
        <v>1758.65</v>
      </c>
      <c r="H26" s="35"/>
      <c r="I26" s="36">
        <f>SUM(I16:I24)</f>
        <v>12653.649999999998</v>
      </c>
      <c r="J26" s="37"/>
    </row>
    <row r="27" spans="1:10" ht="15.75" thickTop="1" x14ac:dyDescent="0.25">
      <c r="A27" s="33"/>
      <c r="B27" s="34" t="s">
        <v>448</v>
      </c>
      <c r="C27" s="35"/>
      <c r="D27" s="35"/>
      <c r="E27" s="35"/>
      <c r="F27" s="35"/>
      <c r="G27" s="35"/>
      <c r="H27" s="35"/>
      <c r="I27" s="35"/>
      <c r="J27" s="37"/>
    </row>
    <row r="28" spans="1:10" x14ac:dyDescent="0.25">
      <c r="A28" s="33"/>
      <c r="B28" s="38" t="s">
        <v>25</v>
      </c>
      <c r="C28" s="35"/>
      <c r="D28" s="35"/>
      <c r="E28" s="35"/>
      <c r="F28" s="35"/>
      <c r="G28" s="35"/>
      <c r="H28" s="35"/>
      <c r="I28" s="35"/>
      <c r="J28" s="37"/>
    </row>
    <row r="29" spans="1:10" ht="30" customHeight="1" x14ac:dyDescent="0.25">
      <c r="B29" s="183" t="s">
        <v>26</v>
      </c>
      <c r="C29" s="183"/>
      <c r="D29" s="183"/>
      <c r="E29" s="183"/>
      <c r="F29" s="183"/>
      <c r="G29" s="183"/>
      <c r="H29" s="183"/>
      <c r="I29" s="183"/>
      <c r="J29" s="183"/>
    </row>
    <row r="30" spans="1:10" x14ac:dyDescent="0.25">
      <c r="B30" t="s">
        <v>27</v>
      </c>
    </row>
    <row r="32" spans="1:10" x14ac:dyDescent="0.25">
      <c r="B32" t="s">
        <v>28</v>
      </c>
      <c r="H32" t="s">
        <v>28</v>
      </c>
    </row>
    <row r="33" spans="2:8" x14ac:dyDescent="0.25">
      <c r="B33" t="s">
        <v>29</v>
      </c>
      <c r="H33" t="s">
        <v>30</v>
      </c>
    </row>
  </sheetData>
  <mergeCells count="5">
    <mergeCell ref="A6:J6"/>
    <mergeCell ref="I7:J7"/>
    <mergeCell ref="I8:J8"/>
    <mergeCell ref="I9:J9"/>
    <mergeCell ref="B29:J29"/>
  </mergeCells>
  <hyperlinks>
    <hyperlink ref="H5" r:id="rId1" xr:uid="{00000000-0004-0000-3100-000000000000}"/>
  </hyperlinks>
  <pageMargins left="0.2" right="0.1" top="0.25" bottom="0.25" header="0.3" footer="0.3"/>
  <pageSetup paperSize="9" orientation="portrait" r:id="rId2"/>
  <drawing r:id="rId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25"/>
  <sheetViews>
    <sheetView workbookViewId="0">
      <selection activeCell="B2" sqref="B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435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434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108</v>
      </c>
      <c r="C16" s="24" t="s">
        <v>56</v>
      </c>
      <c r="D16" s="25">
        <v>20</v>
      </c>
      <c r="E16" s="26">
        <v>335</v>
      </c>
      <c r="F16" s="27">
        <f>D16*E16</f>
        <v>6700</v>
      </c>
      <c r="G16" s="27">
        <f>F16*0.17</f>
        <v>1139</v>
      </c>
      <c r="H16" s="39">
        <f>E16*1.17</f>
        <v>391.95</v>
      </c>
      <c r="I16" s="27">
        <f>H16*D16</f>
        <v>7839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20</v>
      </c>
      <c r="E18" s="35"/>
      <c r="F18" s="36">
        <f>SUM(F16:F16)</f>
        <v>6700</v>
      </c>
      <c r="G18" s="36">
        <f>SUM(G16:G16)</f>
        <v>1139</v>
      </c>
      <c r="H18" s="35"/>
      <c r="I18" s="36">
        <f>SUM(I16:I16)</f>
        <v>7839</v>
      </c>
      <c r="J18" s="37"/>
    </row>
    <row r="19" spans="1:10" ht="15.75" thickTop="1" x14ac:dyDescent="0.25">
      <c r="A19" s="33"/>
      <c r="B19" s="34" t="s">
        <v>436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3200-000000000000}"/>
  </hyperlinks>
  <pageMargins left="0.2" right="0.1" top="0.25" bottom="0.25" header="0.3" footer="0.3"/>
  <pageSetup paperSize="9" orientation="portrait" r:id="rId2"/>
  <drawing r:id="rId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J25"/>
  <sheetViews>
    <sheetView workbookViewId="0">
      <selection activeCell="L20" sqref="L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430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429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431</v>
      </c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432</v>
      </c>
      <c r="C16" s="24" t="s">
        <v>269</v>
      </c>
      <c r="D16" s="25">
        <v>50</v>
      </c>
      <c r="E16" s="26">
        <v>278</v>
      </c>
      <c r="F16" s="27">
        <f t="shared" ref="F16" si="0">D16*E16</f>
        <v>13900</v>
      </c>
      <c r="G16" s="27">
        <f>F16*0.17</f>
        <v>2363</v>
      </c>
      <c r="H16" s="39">
        <f>E16*1.17</f>
        <v>325.26</v>
      </c>
      <c r="I16" s="27">
        <f t="shared" ref="I16" si="1">H16*D16</f>
        <v>16263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50</v>
      </c>
      <c r="E18" s="35"/>
      <c r="F18" s="36">
        <f>SUM(F16:F16)</f>
        <v>13900</v>
      </c>
      <c r="G18" s="36">
        <f>SUM(G16:G16)</f>
        <v>2363</v>
      </c>
      <c r="H18" s="35"/>
      <c r="I18" s="36">
        <f>SUM(I16:I16)</f>
        <v>16263</v>
      </c>
      <c r="J18" s="37"/>
    </row>
    <row r="19" spans="1:10" ht="15.75" thickTop="1" x14ac:dyDescent="0.25">
      <c r="A19" s="33"/>
      <c r="B19" s="34" t="s">
        <v>433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3300-000000000000}"/>
  </hyperlinks>
  <pageMargins left="0.2" right="0.1" top="0.25" bottom="0.25" header="0.3" footer="0.3"/>
  <pageSetup paperSize="9" orientation="portrait" r:id="rId2"/>
  <drawing r:id="rId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J30"/>
  <sheetViews>
    <sheetView workbookViewId="0">
      <selection activeCell="B4" sqref="B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422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423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424</v>
      </c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67</v>
      </c>
      <c r="C16" s="24" t="s">
        <v>23</v>
      </c>
      <c r="D16" s="25">
        <v>35</v>
      </c>
      <c r="E16" s="26">
        <v>65</v>
      </c>
      <c r="F16" s="27">
        <f t="shared" ref="F16:F21" si="0">D16*E16</f>
        <v>2275</v>
      </c>
      <c r="G16" s="27">
        <f>F16*0.17</f>
        <v>386.75</v>
      </c>
      <c r="H16" s="39">
        <f>E16*1.17</f>
        <v>76.05</v>
      </c>
      <c r="I16" s="27">
        <f t="shared" ref="I16:I21" si="1">H16*D16</f>
        <v>2661.75</v>
      </c>
      <c r="J16" s="28"/>
    </row>
    <row r="17" spans="1:10" s="21" customFormat="1" x14ac:dyDescent="0.25">
      <c r="A17" s="22">
        <v>2</v>
      </c>
      <c r="B17" s="23" t="s">
        <v>425</v>
      </c>
      <c r="C17" s="24" t="s">
        <v>76</v>
      </c>
      <c r="D17" s="25">
        <v>6</v>
      </c>
      <c r="E17" s="26">
        <v>65</v>
      </c>
      <c r="F17" s="27">
        <f t="shared" si="0"/>
        <v>390</v>
      </c>
      <c r="G17" s="27">
        <f>F17*0.17</f>
        <v>66.300000000000011</v>
      </c>
      <c r="H17" s="39">
        <f>E17*1.17</f>
        <v>76.05</v>
      </c>
      <c r="I17" s="27">
        <f t="shared" si="1"/>
        <v>456.29999999999995</v>
      </c>
      <c r="J17" s="28"/>
    </row>
    <row r="18" spans="1:10" s="21" customFormat="1" x14ac:dyDescent="0.25">
      <c r="A18" s="22">
        <v>3</v>
      </c>
      <c r="B18" s="23" t="s">
        <v>349</v>
      </c>
      <c r="C18" s="24" t="s">
        <v>23</v>
      </c>
      <c r="D18" s="25">
        <v>6</v>
      </c>
      <c r="E18" s="26">
        <v>350</v>
      </c>
      <c r="F18" s="27">
        <f t="shared" si="0"/>
        <v>2100</v>
      </c>
      <c r="G18" s="27">
        <f>F18*0.17</f>
        <v>357</v>
      </c>
      <c r="H18" s="39">
        <f>E18*1.17</f>
        <v>409.5</v>
      </c>
      <c r="I18" s="27">
        <f t="shared" si="1"/>
        <v>2457</v>
      </c>
      <c r="J18" s="28"/>
    </row>
    <row r="19" spans="1:10" s="21" customFormat="1" x14ac:dyDescent="0.25">
      <c r="A19" s="22">
        <v>4</v>
      </c>
      <c r="B19" s="23" t="s">
        <v>426</v>
      </c>
      <c r="C19" s="24" t="s">
        <v>76</v>
      </c>
      <c r="D19" s="25">
        <v>10</v>
      </c>
      <c r="E19" s="26">
        <v>70</v>
      </c>
      <c r="F19" s="27">
        <f t="shared" si="0"/>
        <v>700</v>
      </c>
      <c r="G19" s="27">
        <f>F19*0</f>
        <v>0</v>
      </c>
      <c r="H19" s="39">
        <f>E19*1</f>
        <v>70</v>
      </c>
      <c r="I19" s="27">
        <f t="shared" si="1"/>
        <v>700</v>
      </c>
      <c r="J19" s="28"/>
    </row>
    <row r="20" spans="1:10" s="21" customFormat="1" x14ac:dyDescent="0.25">
      <c r="A20" s="22">
        <v>5</v>
      </c>
      <c r="B20" s="23" t="s">
        <v>287</v>
      </c>
      <c r="C20" s="24" t="s">
        <v>76</v>
      </c>
      <c r="D20" s="25">
        <v>6</v>
      </c>
      <c r="E20" s="26">
        <v>60</v>
      </c>
      <c r="F20" s="27">
        <f t="shared" si="0"/>
        <v>360</v>
      </c>
      <c r="G20" s="27">
        <f>F20*0</f>
        <v>0</v>
      </c>
      <c r="H20" s="39">
        <f>E20*1</f>
        <v>60</v>
      </c>
      <c r="I20" s="27">
        <f t="shared" si="1"/>
        <v>360</v>
      </c>
      <c r="J20" s="28"/>
    </row>
    <row r="21" spans="1:10" s="21" customFormat="1" x14ac:dyDescent="0.25">
      <c r="A21" s="22">
        <v>6</v>
      </c>
      <c r="B21" s="23" t="s">
        <v>427</v>
      </c>
      <c r="C21" s="24" t="s">
        <v>76</v>
      </c>
      <c r="D21" s="25">
        <v>2</v>
      </c>
      <c r="E21" s="26">
        <v>480</v>
      </c>
      <c r="F21" s="27">
        <f t="shared" si="0"/>
        <v>960</v>
      </c>
      <c r="G21" s="27">
        <f>F21*0</f>
        <v>0</v>
      </c>
      <c r="H21" s="39">
        <f>E21*1</f>
        <v>480</v>
      </c>
      <c r="I21" s="27">
        <f t="shared" si="1"/>
        <v>960</v>
      </c>
      <c r="J21" s="28"/>
    </row>
    <row r="22" spans="1:10" s="21" customFormat="1" x14ac:dyDescent="0.25">
      <c r="A22" s="29"/>
      <c r="B22" s="30"/>
      <c r="C22" s="31"/>
      <c r="D22" s="25"/>
      <c r="E22" s="26"/>
      <c r="F22" s="32"/>
      <c r="G22" s="32"/>
      <c r="H22" s="26"/>
      <c r="I22" s="32"/>
      <c r="J22" s="28"/>
    </row>
    <row r="23" spans="1:10" ht="15.75" thickBot="1" x14ac:dyDescent="0.3">
      <c r="A23" s="33"/>
      <c r="B23" s="34" t="s">
        <v>24</v>
      </c>
      <c r="C23" s="35"/>
      <c r="D23" s="36">
        <f>SUM(D16:D21)</f>
        <v>65</v>
      </c>
      <c r="E23" s="35"/>
      <c r="F23" s="36">
        <f>SUM(F16:F21)</f>
        <v>6785</v>
      </c>
      <c r="G23" s="36">
        <f>SUM(G16:G21)</f>
        <v>810.05</v>
      </c>
      <c r="H23" s="35"/>
      <c r="I23" s="36">
        <f>SUM(I16:I21)</f>
        <v>7595.05</v>
      </c>
      <c r="J23" s="37"/>
    </row>
    <row r="24" spans="1:10" ht="15.75" thickTop="1" x14ac:dyDescent="0.25">
      <c r="A24" s="33"/>
      <c r="B24" s="34" t="s">
        <v>428</v>
      </c>
      <c r="C24" s="35"/>
      <c r="D24" s="35"/>
      <c r="E24" s="35"/>
      <c r="F24" s="35"/>
      <c r="G24" s="35"/>
      <c r="H24" s="35"/>
      <c r="I24" s="35"/>
      <c r="J24" s="37"/>
    </row>
    <row r="25" spans="1:10" x14ac:dyDescent="0.25">
      <c r="A25" s="33"/>
      <c r="B25" s="38" t="s">
        <v>25</v>
      </c>
      <c r="C25" s="35"/>
      <c r="D25" s="35"/>
      <c r="E25" s="35"/>
      <c r="F25" s="35"/>
      <c r="G25" s="35"/>
      <c r="H25" s="35"/>
      <c r="I25" s="35"/>
      <c r="J25" s="37"/>
    </row>
    <row r="26" spans="1:10" ht="30" customHeight="1" x14ac:dyDescent="0.25">
      <c r="B26" s="183" t="s">
        <v>26</v>
      </c>
      <c r="C26" s="183"/>
      <c r="D26" s="183"/>
      <c r="E26" s="183"/>
      <c r="F26" s="183"/>
      <c r="G26" s="183"/>
      <c r="H26" s="183"/>
      <c r="I26" s="183"/>
      <c r="J26" s="183"/>
    </row>
    <row r="27" spans="1:10" x14ac:dyDescent="0.25">
      <c r="B27" t="s">
        <v>27</v>
      </c>
    </row>
    <row r="29" spans="1:10" x14ac:dyDescent="0.25">
      <c r="B29" t="s">
        <v>28</v>
      </c>
      <c r="H29" t="s">
        <v>28</v>
      </c>
    </row>
    <row r="30" spans="1:10" x14ac:dyDescent="0.25">
      <c r="B30" t="s">
        <v>29</v>
      </c>
      <c r="H30" t="s">
        <v>30</v>
      </c>
    </row>
  </sheetData>
  <mergeCells count="5">
    <mergeCell ref="A6:J6"/>
    <mergeCell ref="I7:J7"/>
    <mergeCell ref="I8:J8"/>
    <mergeCell ref="I9:J9"/>
    <mergeCell ref="B26:J26"/>
  </mergeCells>
  <hyperlinks>
    <hyperlink ref="H5" r:id="rId1" xr:uid="{00000000-0004-0000-3400-000000000000}"/>
  </hyperlinks>
  <pageMargins left="0.2" right="0.1" top="0.25" bottom="0.25" header="0.3" footer="0.3"/>
  <pageSetup paperSize="9" orientation="portrait" r:id="rId2"/>
  <drawing r:id="rId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25"/>
  <sheetViews>
    <sheetView workbookViewId="0">
      <selection activeCell="A8" sqref="A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472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419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420</v>
      </c>
      <c r="C16" s="43" t="s">
        <v>23</v>
      </c>
      <c r="D16" s="43">
        <v>500</v>
      </c>
      <c r="E16" s="26">
        <v>75</v>
      </c>
      <c r="F16" s="27">
        <f t="shared" ref="F16" si="0">D16*E16</f>
        <v>37500</v>
      </c>
      <c r="G16" s="27">
        <f>F16*0.17</f>
        <v>6375.0000000000009</v>
      </c>
      <c r="H16" s="39">
        <f>E16*1.17</f>
        <v>87.75</v>
      </c>
      <c r="I16" s="27">
        <f t="shared" ref="I16" si="1">H16*D16</f>
        <v>43875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500</v>
      </c>
      <c r="E18" s="35"/>
      <c r="F18" s="36">
        <f>SUM(F16:F16)</f>
        <v>37500</v>
      </c>
      <c r="G18" s="36">
        <f>SUM(G16:G16)</f>
        <v>6375.0000000000009</v>
      </c>
      <c r="H18" s="35"/>
      <c r="I18" s="36">
        <f>SUM(I16:I16)</f>
        <v>43875</v>
      </c>
      <c r="J18" s="37"/>
    </row>
    <row r="19" spans="1:10" ht="15.75" thickTop="1" x14ac:dyDescent="0.25">
      <c r="A19" s="33"/>
      <c r="B19" s="34" t="s">
        <v>421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3500-000000000000}"/>
  </hyperlinks>
  <pageMargins left="0.2" right="0.1" top="0.25" bottom="0.25" header="0.3" footer="0.3"/>
  <pageSetup paperSize="9" orientation="portrait" r:id="rId2"/>
  <drawing r:id="rId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J32"/>
  <sheetViews>
    <sheetView workbookViewId="0">
      <selection activeCell="F11" sqref="F1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409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408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410</v>
      </c>
      <c r="C16" s="43" t="s">
        <v>23</v>
      </c>
      <c r="D16" s="43">
        <v>500</v>
      </c>
      <c r="E16" s="26">
        <v>45</v>
      </c>
      <c r="F16" s="27">
        <f t="shared" ref="F16:F23" si="0">D16*E16</f>
        <v>22500</v>
      </c>
      <c r="G16" s="27">
        <f>F16*0.17</f>
        <v>3825.0000000000005</v>
      </c>
      <c r="H16" s="39">
        <f>E16*1.17</f>
        <v>52.65</v>
      </c>
      <c r="I16" s="27">
        <f t="shared" ref="I16:I23" si="1">H16*D16</f>
        <v>26325</v>
      </c>
      <c r="J16" s="28"/>
    </row>
    <row r="17" spans="1:10" s="21" customFormat="1" x14ac:dyDescent="0.25">
      <c r="A17" s="22">
        <v>2</v>
      </c>
      <c r="B17" s="23" t="s">
        <v>411</v>
      </c>
      <c r="C17" s="43" t="s">
        <v>23</v>
      </c>
      <c r="D17" s="43">
        <v>100</v>
      </c>
      <c r="E17" s="26">
        <v>220</v>
      </c>
      <c r="F17" s="27">
        <f t="shared" si="0"/>
        <v>22000</v>
      </c>
      <c r="G17" s="27">
        <f>F17*0.17</f>
        <v>3740.0000000000005</v>
      </c>
      <c r="H17" s="39">
        <f>E17*1.17</f>
        <v>257.39999999999998</v>
      </c>
      <c r="I17" s="27">
        <f t="shared" si="1"/>
        <v>25739.999999999996</v>
      </c>
      <c r="J17" s="28"/>
    </row>
    <row r="18" spans="1:10" s="21" customFormat="1" x14ac:dyDescent="0.25">
      <c r="A18" s="22">
        <v>3</v>
      </c>
      <c r="B18" s="23" t="s">
        <v>412</v>
      </c>
      <c r="C18" s="43" t="s">
        <v>23</v>
      </c>
      <c r="D18" s="43">
        <v>6</v>
      </c>
      <c r="E18" s="26">
        <v>250</v>
      </c>
      <c r="F18" s="27">
        <f t="shared" si="0"/>
        <v>1500</v>
      </c>
      <c r="G18" s="27">
        <f>F18*0.17</f>
        <v>255.00000000000003</v>
      </c>
      <c r="H18" s="39">
        <f>E18*1.17</f>
        <v>292.5</v>
      </c>
      <c r="I18" s="27">
        <f t="shared" si="1"/>
        <v>1755</v>
      </c>
      <c r="J18" s="28"/>
    </row>
    <row r="19" spans="1:10" s="21" customFormat="1" ht="25.5" x14ac:dyDescent="0.25">
      <c r="A19" s="22">
        <v>4</v>
      </c>
      <c r="B19" s="23" t="s">
        <v>414</v>
      </c>
      <c r="C19" s="43" t="s">
        <v>23</v>
      </c>
      <c r="D19" s="43">
        <v>200</v>
      </c>
      <c r="E19" s="26">
        <v>20</v>
      </c>
      <c r="F19" s="27">
        <f t="shared" si="0"/>
        <v>4000</v>
      </c>
      <c r="G19" s="27">
        <f>F19*0.17</f>
        <v>680</v>
      </c>
      <c r="H19" s="39">
        <f>E19*1.17</f>
        <v>23.4</v>
      </c>
      <c r="I19" s="27">
        <f t="shared" si="1"/>
        <v>4680</v>
      </c>
      <c r="J19" s="28"/>
    </row>
    <row r="20" spans="1:10" s="21" customFormat="1" ht="25.5" x14ac:dyDescent="0.25">
      <c r="A20" s="22">
        <v>5</v>
      </c>
      <c r="B20" s="23" t="s">
        <v>413</v>
      </c>
      <c r="C20" s="43" t="s">
        <v>23</v>
      </c>
      <c r="D20" s="43">
        <v>200</v>
      </c>
      <c r="E20" s="26">
        <v>40</v>
      </c>
      <c r="F20" s="27">
        <f t="shared" si="0"/>
        <v>8000</v>
      </c>
      <c r="G20" s="27">
        <f>F20*0.17</f>
        <v>1360</v>
      </c>
      <c r="H20" s="39">
        <f>E20*1.17</f>
        <v>46.8</v>
      </c>
      <c r="I20" s="27">
        <f t="shared" si="1"/>
        <v>9360</v>
      </c>
      <c r="J20" s="28"/>
    </row>
    <row r="21" spans="1:10" s="21" customFormat="1" x14ac:dyDescent="0.25">
      <c r="A21" s="22">
        <v>6</v>
      </c>
      <c r="B21" s="23" t="s">
        <v>415</v>
      </c>
      <c r="C21" s="43" t="s">
        <v>23</v>
      </c>
      <c r="D21" s="43">
        <v>2000</v>
      </c>
      <c r="E21" s="26">
        <f>5.5*1</f>
        <v>5.5</v>
      </c>
      <c r="F21" s="27">
        <f t="shared" si="0"/>
        <v>11000</v>
      </c>
      <c r="G21" s="27">
        <f>F21*0</f>
        <v>0</v>
      </c>
      <c r="H21" s="39">
        <f>E21*1</f>
        <v>5.5</v>
      </c>
      <c r="I21" s="27">
        <f t="shared" si="1"/>
        <v>11000</v>
      </c>
      <c r="J21" s="28"/>
    </row>
    <row r="22" spans="1:10" s="21" customFormat="1" ht="25.5" x14ac:dyDescent="0.25">
      <c r="A22" s="22">
        <v>7</v>
      </c>
      <c r="B22" s="23" t="s">
        <v>416</v>
      </c>
      <c r="C22" s="43" t="s">
        <v>23</v>
      </c>
      <c r="D22" s="43">
        <v>500</v>
      </c>
      <c r="E22" s="26">
        <v>40</v>
      </c>
      <c r="F22" s="27">
        <f t="shared" si="0"/>
        <v>20000</v>
      </c>
      <c r="G22" s="27">
        <f>F22*0.17</f>
        <v>3400.0000000000005</v>
      </c>
      <c r="H22" s="39">
        <f>E22*1.17</f>
        <v>46.8</v>
      </c>
      <c r="I22" s="27">
        <f t="shared" si="1"/>
        <v>23400</v>
      </c>
      <c r="J22" s="28"/>
    </row>
    <row r="23" spans="1:10" s="21" customFormat="1" x14ac:dyDescent="0.25">
      <c r="A23" s="22">
        <v>8</v>
      </c>
      <c r="B23" s="23" t="s">
        <v>417</v>
      </c>
      <c r="C23" s="43" t="s">
        <v>23</v>
      </c>
      <c r="D23" s="43">
        <v>500</v>
      </c>
      <c r="E23" s="26">
        <v>65</v>
      </c>
      <c r="F23" s="27">
        <f t="shared" si="0"/>
        <v>32500</v>
      </c>
      <c r="G23" s="27">
        <f>F23*0.17</f>
        <v>5525</v>
      </c>
      <c r="H23" s="39">
        <f>E23*1.17</f>
        <v>76.05</v>
      </c>
      <c r="I23" s="27">
        <f t="shared" si="1"/>
        <v>38025</v>
      </c>
      <c r="J23" s="28"/>
    </row>
    <row r="24" spans="1:10" s="21" customFormat="1" x14ac:dyDescent="0.25">
      <c r="A24" s="29"/>
      <c r="B24" s="30"/>
      <c r="C24" s="31"/>
      <c r="D24" s="25"/>
      <c r="E24" s="26"/>
      <c r="F24" s="32"/>
      <c r="G24" s="32"/>
      <c r="H24" s="26"/>
      <c r="I24" s="32"/>
      <c r="J24" s="28"/>
    </row>
    <row r="25" spans="1:10" ht="15.75" thickBot="1" x14ac:dyDescent="0.3">
      <c r="A25" s="33"/>
      <c r="B25" s="34" t="s">
        <v>24</v>
      </c>
      <c r="C25" s="35"/>
      <c r="D25" s="36">
        <f>SUM(D16:D23)</f>
        <v>4006</v>
      </c>
      <c r="E25" s="35"/>
      <c r="F25" s="36">
        <f>SUM(F16:F23)</f>
        <v>121500</v>
      </c>
      <c r="G25" s="36">
        <f>SUM(G16:G23)</f>
        <v>18785</v>
      </c>
      <c r="H25" s="35"/>
      <c r="I25" s="36">
        <f>SUM(I16:I23)</f>
        <v>140285</v>
      </c>
      <c r="J25" s="37"/>
    </row>
    <row r="26" spans="1:10" ht="15.75" thickTop="1" x14ac:dyDescent="0.25">
      <c r="A26" s="33"/>
      <c r="B26" s="34" t="s">
        <v>418</v>
      </c>
      <c r="C26" s="35"/>
      <c r="D26" s="35"/>
      <c r="E26" s="35"/>
      <c r="F26" s="35"/>
      <c r="G26" s="35"/>
      <c r="H26" s="35"/>
      <c r="I26" s="35"/>
      <c r="J26" s="37"/>
    </row>
    <row r="27" spans="1:10" x14ac:dyDescent="0.25">
      <c r="A27" s="33"/>
      <c r="B27" s="38" t="s">
        <v>25</v>
      </c>
      <c r="C27" s="35"/>
      <c r="D27" s="35"/>
      <c r="E27" s="35"/>
      <c r="F27" s="35"/>
      <c r="G27" s="35"/>
      <c r="H27" s="35"/>
      <c r="I27" s="35"/>
      <c r="J27" s="37"/>
    </row>
    <row r="28" spans="1:10" ht="30" customHeight="1" x14ac:dyDescent="0.25">
      <c r="B28" s="183" t="s">
        <v>26</v>
      </c>
      <c r="C28" s="183"/>
      <c r="D28" s="183"/>
      <c r="E28" s="183"/>
      <c r="F28" s="183"/>
      <c r="G28" s="183"/>
      <c r="H28" s="183"/>
      <c r="I28" s="183"/>
      <c r="J28" s="183"/>
    </row>
    <row r="29" spans="1:10" x14ac:dyDescent="0.25">
      <c r="B29" t="s">
        <v>27</v>
      </c>
    </row>
    <row r="31" spans="1:10" x14ac:dyDescent="0.25">
      <c r="B31" t="s">
        <v>28</v>
      </c>
      <c r="H31" t="s">
        <v>28</v>
      </c>
    </row>
    <row r="32" spans="1:10" x14ac:dyDescent="0.25">
      <c r="B32" t="s">
        <v>29</v>
      </c>
      <c r="H32" t="s">
        <v>30</v>
      </c>
    </row>
  </sheetData>
  <mergeCells count="5">
    <mergeCell ref="A6:J6"/>
    <mergeCell ref="I7:J7"/>
    <mergeCell ref="I8:J8"/>
    <mergeCell ref="I9:J9"/>
    <mergeCell ref="B28:J28"/>
  </mergeCells>
  <hyperlinks>
    <hyperlink ref="H5" r:id="rId1" xr:uid="{00000000-0004-0000-3600-000000000000}"/>
  </hyperlinks>
  <pageMargins left="0.2" right="0.1" top="0.25" bottom="0.25" header="0.3" footer="0.3"/>
  <pageSetup paperSize="9" orientation="portrait" r:id="rId2"/>
  <drawing r:id="rId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26"/>
  <sheetViews>
    <sheetView workbookViewId="0">
      <selection activeCell="A12" sqref="A1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407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406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108</v>
      </c>
      <c r="C16" s="24" t="s">
        <v>56</v>
      </c>
      <c r="D16" s="25">
        <v>20</v>
      </c>
      <c r="E16" s="26">
        <f>380/117*100</f>
        <v>324.78632478632477</v>
      </c>
      <c r="F16" s="27">
        <f>D16*E16</f>
        <v>6495.7264957264952</v>
      </c>
      <c r="G16" s="27">
        <f>F16*0.17</f>
        <v>1104.2735042735042</v>
      </c>
      <c r="H16" s="39">
        <f>E16*1.17</f>
        <v>379.99999999999994</v>
      </c>
      <c r="I16" s="27">
        <f>H16*D16</f>
        <v>7599.9999999999991</v>
      </c>
      <c r="J16" s="28"/>
    </row>
    <row r="17" spans="1:10" s="21" customFormat="1" ht="25.5" x14ac:dyDescent="0.25">
      <c r="A17" s="22">
        <v>2</v>
      </c>
      <c r="B17" s="23" t="s">
        <v>216</v>
      </c>
      <c r="C17" s="24" t="s">
        <v>56</v>
      </c>
      <c r="D17" s="25">
        <v>2</v>
      </c>
      <c r="E17" s="26">
        <f>400/117*100</f>
        <v>341.88034188034186</v>
      </c>
      <c r="F17" s="27">
        <f>D17*E17</f>
        <v>683.76068376068372</v>
      </c>
      <c r="G17" s="27">
        <f>F17*0.17</f>
        <v>116.23931623931624</v>
      </c>
      <c r="H17" s="39">
        <f>E17*1.17</f>
        <v>399.99999999999994</v>
      </c>
      <c r="I17" s="27">
        <f>H17*D17</f>
        <v>799.99999999999989</v>
      </c>
      <c r="J17" s="28"/>
    </row>
    <row r="18" spans="1:10" s="21" customFormat="1" x14ac:dyDescent="0.25">
      <c r="A18" s="29"/>
      <c r="B18" s="30"/>
      <c r="C18" s="31"/>
      <c r="D18" s="25"/>
      <c r="E18" s="26"/>
      <c r="F18" s="32"/>
      <c r="G18" s="32"/>
      <c r="H18" s="26"/>
      <c r="I18" s="32"/>
      <c r="J18" s="28"/>
    </row>
    <row r="19" spans="1:10" ht="15.75" thickBot="1" x14ac:dyDescent="0.3">
      <c r="A19" s="33"/>
      <c r="B19" s="34" t="s">
        <v>24</v>
      </c>
      <c r="C19" s="35"/>
      <c r="D19" s="36">
        <f>SUM(D16:D17)</f>
        <v>22</v>
      </c>
      <c r="E19" s="35"/>
      <c r="F19" s="36">
        <f>SUM(F16:F17)</f>
        <v>7179.4871794871788</v>
      </c>
      <c r="G19" s="36">
        <f>SUM(G16:G17)</f>
        <v>1220.5128205128203</v>
      </c>
      <c r="H19" s="35"/>
      <c r="I19" s="36">
        <f>SUM(I16:I17)</f>
        <v>8399.9999999999982</v>
      </c>
      <c r="J19" s="37"/>
    </row>
    <row r="20" spans="1:10" ht="15.75" thickTop="1" x14ac:dyDescent="0.25">
      <c r="A20" s="33"/>
      <c r="B20" s="34" t="s">
        <v>235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27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mergeCells count="5">
    <mergeCell ref="A6:J6"/>
    <mergeCell ref="I7:J7"/>
    <mergeCell ref="I8:J8"/>
    <mergeCell ref="I9:J9"/>
    <mergeCell ref="B22:J22"/>
  </mergeCells>
  <hyperlinks>
    <hyperlink ref="H5" r:id="rId1" xr:uid="{00000000-0004-0000-3700-000000000000}"/>
  </hyperlinks>
  <pageMargins left="0.2" right="0.1" top="0.25" bottom="0.25" header="0.3" footer="0.3"/>
  <pageSetup paperSize="9" orientation="portrait" r:id="rId2"/>
  <drawing r:id="rId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J56"/>
  <sheetViews>
    <sheetView workbookViewId="0">
      <selection activeCell="A3" sqref="A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374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373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375</v>
      </c>
      <c r="C16" s="24" t="s">
        <v>165</v>
      </c>
      <c r="D16" s="25">
        <v>7</v>
      </c>
      <c r="E16" s="26">
        <v>70</v>
      </c>
      <c r="F16" s="27">
        <f>D16*E16</f>
        <v>490</v>
      </c>
      <c r="G16" s="27">
        <f>F16*0</f>
        <v>0</v>
      </c>
      <c r="H16" s="39">
        <f>E16*1</f>
        <v>70</v>
      </c>
      <c r="I16" s="27">
        <f>H16*D16</f>
        <v>490</v>
      </c>
      <c r="J16" s="28"/>
    </row>
    <row r="17" spans="1:10" s="21" customFormat="1" x14ac:dyDescent="0.25">
      <c r="A17" s="22">
        <f>A16+1</f>
        <v>2</v>
      </c>
      <c r="B17" s="23" t="s">
        <v>376</v>
      </c>
      <c r="C17" s="24" t="s">
        <v>165</v>
      </c>
      <c r="D17" s="25">
        <v>4</v>
      </c>
      <c r="E17" s="26">
        <v>70</v>
      </c>
      <c r="F17" s="27">
        <f>D17*E17</f>
        <v>280</v>
      </c>
      <c r="G17" s="27">
        <f>F17*0</f>
        <v>0</v>
      </c>
      <c r="H17" s="39">
        <f>E17*1</f>
        <v>70</v>
      </c>
      <c r="I17" s="27">
        <f>H17*D17</f>
        <v>280</v>
      </c>
      <c r="J17" s="28"/>
    </row>
    <row r="18" spans="1:10" s="21" customFormat="1" x14ac:dyDescent="0.25">
      <c r="A18" s="22">
        <f t="shared" ref="A18:A47" si="0">A17+1</f>
        <v>3</v>
      </c>
      <c r="B18" s="23" t="s">
        <v>377</v>
      </c>
      <c r="C18" s="24" t="s">
        <v>23</v>
      </c>
      <c r="D18" s="25">
        <v>24</v>
      </c>
      <c r="E18" s="26">
        <v>70</v>
      </c>
      <c r="F18" s="41">
        <f t="shared" ref="F18:F28" si="1">D18*E18</f>
        <v>1680</v>
      </c>
      <c r="G18" s="27">
        <f t="shared" ref="G18:G28" si="2">F18*0.17</f>
        <v>285.60000000000002</v>
      </c>
      <c r="H18" s="39">
        <f t="shared" ref="H18:H28" si="3">E18*1.17</f>
        <v>81.899999999999991</v>
      </c>
      <c r="I18" s="27">
        <f t="shared" ref="I18:I28" si="4">H18*D18</f>
        <v>1965.6</v>
      </c>
      <c r="J18" s="28"/>
    </row>
    <row r="19" spans="1:10" s="21" customFormat="1" x14ac:dyDescent="0.25">
      <c r="A19" s="22">
        <f t="shared" si="0"/>
        <v>4</v>
      </c>
      <c r="B19" s="23" t="s">
        <v>378</v>
      </c>
      <c r="C19" s="24" t="s">
        <v>23</v>
      </c>
      <c r="D19" s="25">
        <v>1</v>
      </c>
      <c r="E19" s="26">
        <v>490</v>
      </c>
      <c r="F19" s="41">
        <f t="shared" si="1"/>
        <v>490</v>
      </c>
      <c r="G19" s="27">
        <f t="shared" si="2"/>
        <v>83.300000000000011</v>
      </c>
      <c r="H19" s="39">
        <f t="shared" si="3"/>
        <v>573.29999999999995</v>
      </c>
      <c r="I19" s="27">
        <f t="shared" si="4"/>
        <v>573.29999999999995</v>
      </c>
      <c r="J19" s="28"/>
    </row>
    <row r="20" spans="1:10" s="21" customFormat="1" x14ac:dyDescent="0.25">
      <c r="A20" s="22">
        <f t="shared" si="0"/>
        <v>5</v>
      </c>
      <c r="B20" s="23" t="s">
        <v>379</v>
      </c>
      <c r="C20" s="24" t="s">
        <v>23</v>
      </c>
      <c r="D20" s="25">
        <v>2</v>
      </c>
      <c r="E20" s="26">
        <v>75</v>
      </c>
      <c r="F20" s="41">
        <f t="shared" si="1"/>
        <v>150</v>
      </c>
      <c r="G20" s="27">
        <f t="shared" si="2"/>
        <v>25.500000000000004</v>
      </c>
      <c r="H20" s="39">
        <f t="shared" si="3"/>
        <v>87.75</v>
      </c>
      <c r="I20" s="27">
        <f t="shared" si="4"/>
        <v>175.5</v>
      </c>
      <c r="J20" s="28"/>
    </row>
    <row r="21" spans="1:10" s="21" customFormat="1" x14ac:dyDescent="0.25">
      <c r="A21" s="22">
        <f t="shared" si="0"/>
        <v>6</v>
      </c>
      <c r="B21" s="23" t="s">
        <v>380</v>
      </c>
      <c r="C21" s="24" t="s">
        <v>23</v>
      </c>
      <c r="D21" s="25">
        <v>5</v>
      </c>
      <c r="E21" s="26">
        <v>25</v>
      </c>
      <c r="F21" s="27">
        <f t="shared" si="1"/>
        <v>125</v>
      </c>
      <c r="G21" s="27">
        <f t="shared" ref="G21:G24" si="5">F21*0</f>
        <v>0</v>
      </c>
      <c r="H21" s="39">
        <f t="shared" ref="H21:H24" si="6">E21*1</f>
        <v>25</v>
      </c>
      <c r="I21" s="27">
        <f t="shared" si="4"/>
        <v>125</v>
      </c>
      <c r="J21" s="28"/>
    </row>
    <row r="22" spans="1:10" s="21" customFormat="1" x14ac:dyDescent="0.25">
      <c r="A22" s="22">
        <f t="shared" si="0"/>
        <v>7</v>
      </c>
      <c r="B22" s="23" t="s">
        <v>381</v>
      </c>
      <c r="C22" s="24" t="s">
        <v>23</v>
      </c>
      <c r="D22" s="25">
        <v>5</v>
      </c>
      <c r="E22" s="26">
        <v>25</v>
      </c>
      <c r="F22" s="27">
        <f t="shared" si="1"/>
        <v>125</v>
      </c>
      <c r="G22" s="27">
        <f t="shared" si="5"/>
        <v>0</v>
      </c>
      <c r="H22" s="39">
        <f t="shared" si="6"/>
        <v>25</v>
      </c>
      <c r="I22" s="27">
        <f t="shared" si="4"/>
        <v>125</v>
      </c>
      <c r="J22" s="28"/>
    </row>
    <row r="23" spans="1:10" s="21" customFormat="1" x14ac:dyDescent="0.25">
      <c r="A23" s="22">
        <f t="shared" si="0"/>
        <v>8</v>
      </c>
      <c r="B23" s="23" t="s">
        <v>382</v>
      </c>
      <c r="C23" s="24" t="s">
        <v>23</v>
      </c>
      <c r="D23" s="25">
        <v>5</v>
      </c>
      <c r="E23" s="26">
        <v>25</v>
      </c>
      <c r="F23" s="27">
        <f t="shared" si="1"/>
        <v>125</v>
      </c>
      <c r="G23" s="27">
        <f t="shared" si="5"/>
        <v>0</v>
      </c>
      <c r="H23" s="39">
        <f t="shared" si="6"/>
        <v>25</v>
      </c>
      <c r="I23" s="27">
        <f t="shared" si="4"/>
        <v>125</v>
      </c>
      <c r="J23" s="28"/>
    </row>
    <row r="24" spans="1:10" s="21" customFormat="1" x14ac:dyDescent="0.25">
      <c r="A24" s="22">
        <f t="shared" si="0"/>
        <v>9</v>
      </c>
      <c r="B24" s="23" t="s">
        <v>383</v>
      </c>
      <c r="C24" s="24" t="s">
        <v>23</v>
      </c>
      <c r="D24" s="25">
        <v>5</v>
      </c>
      <c r="E24" s="26">
        <v>25</v>
      </c>
      <c r="F24" s="27">
        <f t="shared" si="1"/>
        <v>125</v>
      </c>
      <c r="G24" s="27">
        <f t="shared" si="5"/>
        <v>0</v>
      </c>
      <c r="H24" s="39">
        <f t="shared" si="6"/>
        <v>25</v>
      </c>
      <c r="I24" s="27">
        <f t="shared" si="4"/>
        <v>125</v>
      </c>
      <c r="J24" s="28"/>
    </row>
    <row r="25" spans="1:10" s="21" customFormat="1" x14ac:dyDescent="0.25">
      <c r="A25" s="22">
        <f t="shared" si="0"/>
        <v>10</v>
      </c>
      <c r="B25" s="23" t="s">
        <v>384</v>
      </c>
      <c r="C25" s="24" t="s">
        <v>23</v>
      </c>
      <c r="D25" s="25">
        <v>1</v>
      </c>
      <c r="E25" s="26">
        <v>110</v>
      </c>
      <c r="F25" s="41">
        <f t="shared" si="1"/>
        <v>110</v>
      </c>
      <c r="G25" s="27">
        <f t="shared" si="2"/>
        <v>18.700000000000003</v>
      </c>
      <c r="H25" s="39">
        <f t="shared" si="3"/>
        <v>128.69999999999999</v>
      </c>
      <c r="I25" s="27">
        <f t="shared" si="4"/>
        <v>128.69999999999999</v>
      </c>
      <c r="J25" s="28"/>
    </row>
    <row r="26" spans="1:10" s="21" customFormat="1" x14ac:dyDescent="0.25">
      <c r="A26" s="22">
        <f t="shared" si="0"/>
        <v>11</v>
      </c>
      <c r="B26" s="23" t="s">
        <v>385</v>
      </c>
      <c r="C26" s="24" t="s">
        <v>23</v>
      </c>
      <c r="D26" s="25">
        <v>1</v>
      </c>
      <c r="E26" s="26">
        <v>180</v>
      </c>
      <c r="F26" s="41">
        <f t="shared" si="1"/>
        <v>180</v>
      </c>
      <c r="G26" s="27">
        <f t="shared" si="2"/>
        <v>30.6</v>
      </c>
      <c r="H26" s="39">
        <f t="shared" si="3"/>
        <v>210.6</v>
      </c>
      <c r="I26" s="27">
        <f t="shared" si="4"/>
        <v>210.6</v>
      </c>
      <c r="J26" s="28"/>
    </row>
    <row r="27" spans="1:10" s="21" customFormat="1" x14ac:dyDescent="0.25">
      <c r="A27" s="22">
        <f t="shared" si="0"/>
        <v>12</v>
      </c>
      <c r="B27" s="23" t="s">
        <v>386</v>
      </c>
      <c r="C27" s="24" t="s">
        <v>76</v>
      </c>
      <c r="D27" s="25">
        <v>7</v>
      </c>
      <c r="E27" s="26">
        <v>55</v>
      </c>
      <c r="F27" s="41">
        <f t="shared" si="1"/>
        <v>385</v>
      </c>
      <c r="G27" s="27">
        <f t="shared" si="2"/>
        <v>65.45</v>
      </c>
      <c r="H27" s="39">
        <f t="shared" si="3"/>
        <v>64.349999999999994</v>
      </c>
      <c r="I27" s="27">
        <f t="shared" si="4"/>
        <v>450.44999999999993</v>
      </c>
      <c r="J27" s="28"/>
    </row>
    <row r="28" spans="1:10" s="21" customFormat="1" x14ac:dyDescent="0.25">
      <c r="A28" s="22">
        <f t="shared" si="0"/>
        <v>13</v>
      </c>
      <c r="B28" s="23" t="s">
        <v>387</v>
      </c>
      <c r="C28" s="24" t="s">
        <v>23</v>
      </c>
      <c r="D28" s="25">
        <v>1</v>
      </c>
      <c r="E28" s="26">
        <v>40</v>
      </c>
      <c r="F28" s="41">
        <f t="shared" si="1"/>
        <v>40</v>
      </c>
      <c r="G28" s="27">
        <f t="shared" si="2"/>
        <v>6.8000000000000007</v>
      </c>
      <c r="H28" s="39">
        <f t="shared" si="3"/>
        <v>46.8</v>
      </c>
      <c r="I28" s="27">
        <f t="shared" si="4"/>
        <v>46.8</v>
      </c>
      <c r="J28" s="28"/>
    </row>
    <row r="29" spans="1:10" s="21" customFormat="1" x14ac:dyDescent="0.25">
      <c r="A29" s="22">
        <f t="shared" si="0"/>
        <v>14</v>
      </c>
      <c r="B29" s="23" t="s">
        <v>388</v>
      </c>
      <c r="C29" s="24" t="s">
        <v>23</v>
      </c>
      <c r="D29" s="25">
        <v>5</v>
      </c>
      <c r="E29" s="26">
        <v>35</v>
      </c>
      <c r="F29" s="41">
        <f t="shared" ref="F29:F39" si="7">D29*E29</f>
        <v>175</v>
      </c>
      <c r="G29" s="27">
        <f t="shared" ref="G29:G39" si="8">F29*0.17</f>
        <v>29.750000000000004</v>
      </c>
      <c r="H29" s="39">
        <f t="shared" ref="H29:H39" si="9">E29*1.17</f>
        <v>40.949999999999996</v>
      </c>
      <c r="I29" s="27">
        <f t="shared" ref="I29:I39" si="10">H29*D29</f>
        <v>204.74999999999997</v>
      </c>
      <c r="J29" s="28"/>
    </row>
    <row r="30" spans="1:10" s="21" customFormat="1" x14ac:dyDescent="0.25">
      <c r="A30" s="22">
        <f t="shared" si="0"/>
        <v>15</v>
      </c>
      <c r="B30" s="23" t="s">
        <v>389</v>
      </c>
      <c r="C30" s="24" t="s">
        <v>23</v>
      </c>
      <c r="D30" s="25">
        <v>22</v>
      </c>
      <c r="E30" s="26">
        <v>85</v>
      </c>
      <c r="F30" s="41">
        <f t="shared" si="7"/>
        <v>1870</v>
      </c>
      <c r="G30" s="27">
        <f t="shared" si="8"/>
        <v>317.90000000000003</v>
      </c>
      <c r="H30" s="39">
        <f t="shared" si="9"/>
        <v>99.449999999999989</v>
      </c>
      <c r="I30" s="27">
        <f t="shared" si="10"/>
        <v>2187.8999999999996</v>
      </c>
      <c r="J30" s="28"/>
    </row>
    <row r="31" spans="1:10" s="21" customFormat="1" x14ac:dyDescent="0.25">
      <c r="A31" s="22">
        <f t="shared" si="0"/>
        <v>16</v>
      </c>
      <c r="B31" s="23" t="s">
        <v>72</v>
      </c>
      <c r="C31" s="24" t="s">
        <v>23</v>
      </c>
      <c r="D31" s="25">
        <v>1</v>
      </c>
      <c r="E31" s="26">
        <v>65</v>
      </c>
      <c r="F31" s="41">
        <f t="shared" si="7"/>
        <v>65</v>
      </c>
      <c r="G31" s="27">
        <f t="shared" si="8"/>
        <v>11.05</v>
      </c>
      <c r="H31" s="39">
        <f t="shared" si="9"/>
        <v>76.05</v>
      </c>
      <c r="I31" s="27">
        <f t="shared" si="10"/>
        <v>76.05</v>
      </c>
      <c r="J31" s="28"/>
    </row>
    <row r="32" spans="1:10" s="21" customFormat="1" x14ac:dyDescent="0.25">
      <c r="A32" s="22">
        <f t="shared" si="0"/>
        <v>17</v>
      </c>
      <c r="B32" s="23" t="s">
        <v>69</v>
      </c>
      <c r="C32" s="24" t="s">
        <v>76</v>
      </c>
      <c r="D32" s="25">
        <v>1</v>
      </c>
      <c r="E32" s="26">
        <v>84</v>
      </c>
      <c r="F32" s="27">
        <f t="shared" si="7"/>
        <v>84</v>
      </c>
      <c r="G32" s="27">
        <f>F32*0</f>
        <v>0</v>
      </c>
      <c r="H32" s="39">
        <f>E32*1</f>
        <v>84</v>
      </c>
      <c r="I32" s="27">
        <f t="shared" si="10"/>
        <v>84</v>
      </c>
      <c r="J32" s="28"/>
    </row>
    <row r="33" spans="1:10" s="21" customFormat="1" x14ac:dyDescent="0.25">
      <c r="A33" s="22">
        <f t="shared" si="0"/>
        <v>18</v>
      </c>
      <c r="B33" s="23" t="s">
        <v>390</v>
      </c>
      <c r="C33" s="24" t="s">
        <v>23</v>
      </c>
      <c r="D33" s="25">
        <v>3</v>
      </c>
      <c r="E33" s="26">
        <v>26</v>
      </c>
      <c r="F33" s="27">
        <f t="shared" si="7"/>
        <v>78</v>
      </c>
      <c r="G33" s="27">
        <f>F33*0</f>
        <v>0</v>
      </c>
      <c r="H33" s="39">
        <f>E33*1</f>
        <v>26</v>
      </c>
      <c r="I33" s="27">
        <f t="shared" si="10"/>
        <v>78</v>
      </c>
      <c r="J33" s="28"/>
    </row>
    <row r="34" spans="1:10" s="21" customFormat="1" x14ac:dyDescent="0.25">
      <c r="A34" s="22">
        <f t="shared" si="0"/>
        <v>19</v>
      </c>
      <c r="B34" s="23" t="s">
        <v>391</v>
      </c>
      <c r="C34" s="24" t="s">
        <v>404</v>
      </c>
      <c r="D34" s="25">
        <v>1</v>
      </c>
      <c r="E34" s="26">
        <v>240</v>
      </c>
      <c r="F34" s="41">
        <f t="shared" si="7"/>
        <v>240</v>
      </c>
      <c r="G34" s="27">
        <f t="shared" si="8"/>
        <v>40.800000000000004</v>
      </c>
      <c r="H34" s="39">
        <f t="shared" si="9"/>
        <v>280.79999999999995</v>
      </c>
      <c r="I34" s="27">
        <f t="shared" si="10"/>
        <v>280.79999999999995</v>
      </c>
      <c r="J34" s="28"/>
    </row>
    <row r="35" spans="1:10" s="21" customFormat="1" x14ac:dyDescent="0.25">
      <c r="A35" s="22">
        <f t="shared" si="0"/>
        <v>20</v>
      </c>
      <c r="B35" s="23" t="s">
        <v>392</v>
      </c>
      <c r="C35" s="24" t="s">
        <v>23</v>
      </c>
      <c r="D35" s="25">
        <v>12</v>
      </c>
      <c r="E35" s="26">
        <v>40</v>
      </c>
      <c r="F35" s="41">
        <f t="shared" si="7"/>
        <v>480</v>
      </c>
      <c r="G35" s="27">
        <f t="shared" si="8"/>
        <v>81.600000000000009</v>
      </c>
      <c r="H35" s="39">
        <f t="shared" si="9"/>
        <v>46.8</v>
      </c>
      <c r="I35" s="27">
        <f t="shared" si="10"/>
        <v>561.59999999999991</v>
      </c>
      <c r="J35" s="28"/>
    </row>
    <row r="36" spans="1:10" s="21" customFormat="1" x14ac:dyDescent="0.25">
      <c r="A36" s="22">
        <f t="shared" si="0"/>
        <v>21</v>
      </c>
      <c r="B36" s="23" t="s">
        <v>393</v>
      </c>
      <c r="C36" s="24" t="s">
        <v>23</v>
      </c>
      <c r="D36" s="25">
        <v>2</v>
      </c>
      <c r="E36" s="26">
        <v>50</v>
      </c>
      <c r="F36" s="27">
        <f t="shared" si="7"/>
        <v>100</v>
      </c>
      <c r="G36" s="27">
        <f t="shared" ref="G36:G37" si="11">F36*0</f>
        <v>0</v>
      </c>
      <c r="H36" s="39">
        <f t="shared" ref="H36:H37" si="12">E36*1</f>
        <v>50</v>
      </c>
      <c r="I36" s="27">
        <f t="shared" si="10"/>
        <v>100</v>
      </c>
      <c r="J36" s="28"/>
    </row>
    <row r="37" spans="1:10" s="21" customFormat="1" x14ac:dyDescent="0.25">
      <c r="A37" s="22">
        <f t="shared" si="0"/>
        <v>22</v>
      </c>
      <c r="B37" s="23" t="s">
        <v>394</v>
      </c>
      <c r="C37" s="24" t="s">
        <v>23</v>
      </c>
      <c r="D37" s="25">
        <v>2</v>
      </c>
      <c r="E37" s="26">
        <v>50</v>
      </c>
      <c r="F37" s="27">
        <f t="shared" si="7"/>
        <v>100</v>
      </c>
      <c r="G37" s="27">
        <f t="shared" si="11"/>
        <v>0</v>
      </c>
      <c r="H37" s="39">
        <f t="shared" si="12"/>
        <v>50</v>
      </c>
      <c r="I37" s="27">
        <f t="shared" si="10"/>
        <v>100</v>
      </c>
      <c r="J37" s="28"/>
    </row>
    <row r="38" spans="1:10" s="21" customFormat="1" x14ac:dyDescent="0.25">
      <c r="A38" s="22">
        <f t="shared" si="0"/>
        <v>23</v>
      </c>
      <c r="B38" s="23" t="s">
        <v>395</v>
      </c>
      <c r="C38" s="24" t="s">
        <v>23</v>
      </c>
      <c r="D38" s="25">
        <v>7</v>
      </c>
      <c r="E38" s="26">
        <v>90</v>
      </c>
      <c r="F38" s="41">
        <f t="shared" si="7"/>
        <v>630</v>
      </c>
      <c r="G38" s="27">
        <f t="shared" si="8"/>
        <v>107.10000000000001</v>
      </c>
      <c r="H38" s="39">
        <f t="shared" si="9"/>
        <v>105.3</v>
      </c>
      <c r="I38" s="27">
        <f t="shared" si="10"/>
        <v>737.1</v>
      </c>
      <c r="J38" s="28"/>
    </row>
    <row r="39" spans="1:10" s="21" customFormat="1" x14ac:dyDescent="0.25">
      <c r="A39" s="22">
        <f t="shared" si="0"/>
        <v>24</v>
      </c>
      <c r="B39" s="23" t="s">
        <v>396</v>
      </c>
      <c r="C39" s="24" t="s">
        <v>166</v>
      </c>
      <c r="D39" s="25">
        <v>4</v>
      </c>
      <c r="E39" s="26">
        <v>25</v>
      </c>
      <c r="F39" s="41">
        <f t="shared" si="7"/>
        <v>100</v>
      </c>
      <c r="G39" s="27">
        <f t="shared" si="8"/>
        <v>17</v>
      </c>
      <c r="H39" s="39">
        <f t="shared" si="9"/>
        <v>29.25</v>
      </c>
      <c r="I39" s="27">
        <f t="shared" si="10"/>
        <v>117</v>
      </c>
      <c r="J39" s="28"/>
    </row>
    <row r="40" spans="1:10" s="21" customFormat="1" x14ac:dyDescent="0.25">
      <c r="A40" s="22">
        <f t="shared" si="0"/>
        <v>25</v>
      </c>
      <c r="B40" s="23" t="s">
        <v>397</v>
      </c>
      <c r="C40" s="24" t="s">
        <v>76</v>
      </c>
      <c r="D40" s="25">
        <v>2</v>
      </c>
      <c r="E40" s="26">
        <v>100</v>
      </c>
      <c r="F40" s="41">
        <f t="shared" ref="F40:F47" si="13">D40*E40</f>
        <v>200</v>
      </c>
      <c r="G40" s="27">
        <f t="shared" ref="G40:G47" si="14">F40*0.17</f>
        <v>34</v>
      </c>
      <c r="H40" s="39">
        <f t="shared" ref="H40:H47" si="15">E40*1.17</f>
        <v>117</v>
      </c>
      <c r="I40" s="27">
        <f t="shared" ref="I40:I47" si="16">H40*D40</f>
        <v>234</v>
      </c>
      <c r="J40" s="28"/>
    </row>
    <row r="41" spans="1:10" s="21" customFormat="1" x14ac:dyDescent="0.25">
      <c r="A41" s="22">
        <f t="shared" si="0"/>
        <v>26</v>
      </c>
      <c r="B41" s="23" t="s">
        <v>398</v>
      </c>
      <c r="C41" s="24" t="s">
        <v>23</v>
      </c>
      <c r="D41" s="25">
        <v>1</v>
      </c>
      <c r="E41" s="26">
        <v>240</v>
      </c>
      <c r="F41" s="41">
        <f t="shared" si="13"/>
        <v>240</v>
      </c>
      <c r="G41" s="27">
        <f t="shared" si="14"/>
        <v>40.800000000000004</v>
      </c>
      <c r="H41" s="39">
        <f t="shared" si="15"/>
        <v>280.79999999999995</v>
      </c>
      <c r="I41" s="27">
        <f t="shared" si="16"/>
        <v>280.79999999999995</v>
      </c>
      <c r="J41" s="28"/>
    </row>
    <row r="42" spans="1:10" s="21" customFormat="1" x14ac:dyDescent="0.25">
      <c r="A42" s="22">
        <f t="shared" si="0"/>
        <v>27</v>
      </c>
      <c r="B42" s="23" t="s">
        <v>209</v>
      </c>
      <c r="C42" s="24" t="s">
        <v>76</v>
      </c>
      <c r="D42" s="25">
        <v>6</v>
      </c>
      <c r="E42" s="26">
        <v>20</v>
      </c>
      <c r="F42" s="41">
        <f t="shared" si="13"/>
        <v>120</v>
      </c>
      <c r="G42" s="27">
        <f t="shared" si="14"/>
        <v>20.400000000000002</v>
      </c>
      <c r="H42" s="39">
        <f t="shared" si="15"/>
        <v>23.4</v>
      </c>
      <c r="I42" s="27">
        <f t="shared" si="16"/>
        <v>140.39999999999998</v>
      </c>
      <c r="J42" s="28"/>
    </row>
    <row r="43" spans="1:10" s="21" customFormat="1" x14ac:dyDescent="0.25">
      <c r="A43" s="22">
        <f t="shared" si="0"/>
        <v>28</v>
      </c>
      <c r="B43" s="23" t="s">
        <v>399</v>
      </c>
      <c r="C43" s="24" t="s">
        <v>76</v>
      </c>
      <c r="D43" s="25">
        <v>5</v>
      </c>
      <c r="E43" s="26">
        <v>15</v>
      </c>
      <c r="F43" s="41">
        <f t="shared" si="13"/>
        <v>75</v>
      </c>
      <c r="G43" s="27">
        <f t="shared" si="14"/>
        <v>12.750000000000002</v>
      </c>
      <c r="H43" s="39">
        <f t="shared" si="15"/>
        <v>17.549999999999997</v>
      </c>
      <c r="I43" s="27">
        <f t="shared" si="16"/>
        <v>87.749999999999986</v>
      </c>
      <c r="J43" s="28"/>
    </row>
    <row r="44" spans="1:10" s="21" customFormat="1" x14ac:dyDescent="0.25">
      <c r="A44" s="22">
        <f t="shared" si="0"/>
        <v>29</v>
      </c>
      <c r="B44" s="23" t="s">
        <v>400</v>
      </c>
      <c r="C44" s="24" t="s">
        <v>23</v>
      </c>
      <c r="D44" s="25">
        <v>2</v>
      </c>
      <c r="E44" s="26">
        <v>35</v>
      </c>
      <c r="F44" s="41">
        <f t="shared" si="13"/>
        <v>70</v>
      </c>
      <c r="G44" s="27">
        <f t="shared" si="14"/>
        <v>11.9</v>
      </c>
      <c r="H44" s="39">
        <f t="shared" si="15"/>
        <v>40.949999999999996</v>
      </c>
      <c r="I44" s="27">
        <f t="shared" si="16"/>
        <v>81.899999999999991</v>
      </c>
      <c r="J44" s="28"/>
    </row>
    <row r="45" spans="1:10" s="21" customFormat="1" x14ac:dyDescent="0.25">
      <c r="A45" s="22">
        <f t="shared" si="0"/>
        <v>30</v>
      </c>
      <c r="B45" s="23" t="s">
        <v>401</v>
      </c>
      <c r="C45" s="24" t="s">
        <v>23</v>
      </c>
      <c r="D45" s="25">
        <v>12</v>
      </c>
      <c r="E45" s="26">
        <v>78</v>
      </c>
      <c r="F45" s="41">
        <f t="shared" si="13"/>
        <v>936</v>
      </c>
      <c r="G45" s="27">
        <f t="shared" si="14"/>
        <v>159.12</v>
      </c>
      <c r="H45" s="39">
        <f t="shared" si="15"/>
        <v>91.259999999999991</v>
      </c>
      <c r="I45" s="27">
        <f t="shared" si="16"/>
        <v>1095.1199999999999</v>
      </c>
      <c r="J45" s="28"/>
    </row>
    <row r="46" spans="1:10" s="21" customFormat="1" ht="25.5" x14ac:dyDescent="0.25">
      <c r="A46" s="22">
        <f t="shared" si="0"/>
        <v>31</v>
      </c>
      <c r="B46" s="23" t="s">
        <v>402</v>
      </c>
      <c r="C46" s="24" t="s">
        <v>23</v>
      </c>
      <c r="D46" s="25">
        <v>12</v>
      </c>
      <c r="E46" s="26">
        <v>60</v>
      </c>
      <c r="F46" s="41">
        <f t="shared" si="13"/>
        <v>720</v>
      </c>
      <c r="G46" s="27">
        <f t="shared" si="14"/>
        <v>122.4</v>
      </c>
      <c r="H46" s="39">
        <f t="shared" si="15"/>
        <v>70.199999999999989</v>
      </c>
      <c r="I46" s="27">
        <f t="shared" si="16"/>
        <v>842.39999999999986</v>
      </c>
      <c r="J46" s="28"/>
    </row>
    <row r="47" spans="1:10" s="21" customFormat="1" x14ac:dyDescent="0.25">
      <c r="A47" s="22">
        <f t="shared" si="0"/>
        <v>32</v>
      </c>
      <c r="B47" s="23" t="s">
        <v>403</v>
      </c>
      <c r="C47" s="24" t="s">
        <v>23</v>
      </c>
      <c r="D47" s="25">
        <v>22</v>
      </c>
      <c r="E47" s="26">
        <v>42</v>
      </c>
      <c r="F47" s="41">
        <f t="shared" si="13"/>
        <v>924</v>
      </c>
      <c r="G47" s="27">
        <f t="shared" si="14"/>
        <v>157.08000000000001</v>
      </c>
      <c r="H47" s="39">
        <f t="shared" si="15"/>
        <v>49.14</v>
      </c>
      <c r="I47" s="27">
        <f t="shared" si="16"/>
        <v>1081.08</v>
      </c>
      <c r="J47" s="28"/>
    </row>
    <row r="48" spans="1:10" s="21" customFormat="1" x14ac:dyDescent="0.25">
      <c r="A48" s="29"/>
      <c r="B48" s="30"/>
      <c r="C48" s="31"/>
      <c r="D48" s="25"/>
      <c r="E48" s="26"/>
      <c r="F48" s="42"/>
      <c r="G48" s="32"/>
      <c r="H48" s="26"/>
      <c r="I48" s="32"/>
      <c r="J48" s="28"/>
    </row>
    <row r="49" spans="1:10" ht="15.75" thickBot="1" x14ac:dyDescent="0.3">
      <c r="A49" s="33"/>
      <c r="B49" s="34" t="s">
        <v>24</v>
      </c>
      <c r="C49" s="35"/>
      <c r="D49" s="36">
        <f>SUM(D16:D47)</f>
        <v>190</v>
      </c>
      <c r="E49" s="35"/>
      <c r="F49" s="36">
        <f>SUM(F16:F47)</f>
        <v>11512</v>
      </c>
      <c r="G49" s="36">
        <f>SUM(G16:G47)</f>
        <v>1679.6000000000004</v>
      </c>
      <c r="H49" s="35"/>
      <c r="I49" s="36">
        <f>SUM(I16:I47)</f>
        <v>13191.599999999999</v>
      </c>
      <c r="J49" s="37"/>
    </row>
    <row r="50" spans="1:10" ht="15.75" thickTop="1" x14ac:dyDescent="0.25">
      <c r="A50" s="33"/>
      <c r="B50" s="34" t="s">
        <v>405</v>
      </c>
      <c r="C50" s="35"/>
      <c r="D50" s="35"/>
      <c r="E50" s="35"/>
      <c r="F50" s="35"/>
      <c r="G50" s="35"/>
      <c r="H50" s="35"/>
      <c r="I50" s="35"/>
      <c r="J50" s="37"/>
    </row>
    <row r="51" spans="1:10" x14ac:dyDescent="0.25">
      <c r="A51" s="33"/>
      <c r="B51" s="38" t="s">
        <v>25</v>
      </c>
      <c r="C51" s="35"/>
      <c r="D51" s="35"/>
      <c r="E51" s="35"/>
      <c r="F51" s="35"/>
      <c r="G51" s="35"/>
      <c r="H51" s="35"/>
      <c r="I51" s="35"/>
      <c r="J51" s="37"/>
    </row>
    <row r="52" spans="1:10" ht="30" customHeight="1" x14ac:dyDescent="0.25">
      <c r="B52" s="183" t="s">
        <v>26</v>
      </c>
      <c r="C52" s="183"/>
      <c r="D52" s="183"/>
      <c r="E52" s="183"/>
      <c r="F52" s="183"/>
      <c r="G52" s="183"/>
      <c r="H52" s="183"/>
      <c r="I52" s="183"/>
      <c r="J52" s="183"/>
    </row>
    <row r="53" spans="1:10" x14ac:dyDescent="0.25">
      <c r="B53" t="s">
        <v>27</v>
      </c>
    </row>
    <row r="55" spans="1:10" x14ac:dyDescent="0.25">
      <c r="B55" t="s">
        <v>28</v>
      </c>
      <c r="H55" t="s">
        <v>28</v>
      </c>
    </row>
    <row r="56" spans="1:10" x14ac:dyDescent="0.25">
      <c r="B56" t="s">
        <v>29</v>
      </c>
      <c r="H56" t="s">
        <v>30</v>
      </c>
    </row>
  </sheetData>
  <mergeCells count="5">
    <mergeCell ref="A6:J6"/>
    <mergeCell ref="I7:J7"/>
    <mergeCell ref="I8:J8"/>
    <mergeCell ref="I9:J9"/>
    <mergeCell ref="B52:J52"/>
  </mergeCells>
  <hyperlinks>
    <hyperlink ref="H5" r:id="rId1" xr:uid="{00000000-0004-0000-3800-000000000000}"/>
  </hyperlinks>
  <pageMargins left="0.2" right="0.1" top="0.25" bottom="0.25" header="0.3" footer="0.3"/>
  <pageSetup paperSize="9" orientation="portrait" r:id="rId2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B1AAE-4964-4B6B-A369-8D1D83DA653F}">
  <sheetPr filterMode="1"/>
  <dimension ref="A1:R49"/>
  <sheetViews>
    <sheetView topLeftCell="A9" workbookViewId="0">
      <selection activeCell="F19" sqref="F19:F3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2252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25.5" hidden="1" x14ac:dyDescent="0.25">
      <c r="A16" s="53">
        <v>1</v>
      </c>
      <c r="B16" s="78" t="s">
        <v>1514</v>
      </c>
      <c r="C16" s="53" t="s">
        <v>1505</v>
      </c>
      <c r="D16" s="79">
        <v>2</v>
      </c>
      <c r="E16" s="56">
        <v>35</v>
      </c>
      <c r="F16" s="56">
        <f>D16*E16</f>
        <v>70</v>
      </c>
      <c r="G16" s="149">
        <f t="shared" ref="G16:G36" si="0">F16*0.17</f>
        <v>11.9</v>
      </c>
      <c r="H16" s="85">
        <f t="shared" ref="H16:H36" si="1">E16*1.17</f>
        <v>40.949999999999996</v>
      </c>
      <c r="I16" s="56">
        <f t="shared" ref="I16:I39" si="2">H16*D16</f>
        <v>81.899999999999991</v>
      </c>
      <c r="J16" s="83"/>
      <c r="N16" s="66"/>
    </row>
    <row r="17" spans="1:14" s="21" customFormat="1" ht="25.5" hidden="1" x14ac:dyDescent="0.25">
      <c r="A17" s="53">
        <v>2</v>
      </c>
      <c r="B17" s="78" t="s">
        <v>1515</v>
      </c>
      <c r="C17" s="53" t="s">
        <v>1505</v>
      </c>
      <c r="D17" s="79">
        <v>2</v>
      </c>
      <c r="E17" s="56">
        <v>100</v>
      </c>
      <c r="F17" s="56">
        <f t="shared" ref="F17:F29" si="3">D17*E17</f>
        <v>200</v>
      </c>
      <c r="G17" s="149">
        <f t="shared" si="0"/>
        <v>34</v>
      </c>
      <c r="H17" s="85">
        <f t="shared" si="1"/>
        <v>117</v>
      </c>
      <c r="I17" s="56">
        <f t="shared" si="2"/>
        <v>234</v>
      </c>
      <c r="J17" s="83"/>
      <c r="N17" s="66"/>
    </row>
    <row r="18" spans="1:14" s="21" customFormat="1" ht="15.75" hidden="1" x14ac:dyDescent="0.25">
      <c r="A18" s="53">
        <v>3</v>
      </c>
      <c r="B18" s="78" t="s">
        <v>1487</v>
      </c>
      <c r="C18" s="53" t="s">
        <v>1506</v>
      </c>
      <c r="D18" s="79">
        <v>2</v>
      </c>
      <c r="E18" s="56">
        <v>155</v>
      </c>
      <c r="F18" s="56">
        <f t="shared" si="3"/>
        <v>310</v>
      </c>
      <c r="G18" s="149">
        <f t="shared" si="0"/>
        <v>52.7</v>
      </c>
      <c r="H18" s="85">
        <f t="shared" si="1"/>
        <v>181.35</v>
      </c>
      <c r="I18" s="56">
        <f t="shared" si="2"/>
        <v>362.7</v>
      </c>
      <c r="J18" s="83"/>
      <c r="N18" s="66"/>
    </row>
    <row r="19" spans="1:14" s="21" customFormat="1" ht="25.5" x14ac:dyDescent="0.25">
      <c r="A19" s="53">
        <v>4</v>
      </c>
      <c r="B19" s="78" t="s">
        <v>1488</v>
      </c>
      <c r="C19" s="53" t="s">
        <v>1505</v>
      </c>
      <c r="D19" s="79">
        <v>2</v>
      </c>
      <c r="E19" s="56">
        <v>25</v>
      </c>
      <c r="F19" s="56">
        <f>D19*E19</f>
        <v>50</v>
      </c>
      <c r="G19" s="149">
        <f>F19*0</f>
        <v>0</v>
      </c>
      <c r="H19" s="85">
        <f>E19*1</f>
        <v>25</v>
      </c>
      <c r="I19" s="56">
        <f t="shared" si="2"/>
        <v>50</v>
      </c>
      <c r="J19" s="83"/>
      <c r="N19" s="66"/>
    </row>
    <row r="20" spans="1:14" s="21" customFormat="1" ht="25.5" x14ac:dyDescent="0.25">
      <c r="A20" s="53">
        <v>5</v>
      </c>
      <c r="B20" s="78" t="s">
        <v>1521</v>
      </c>
      <c r="C20" s="53" t="s">
        <v>1505</v>
      </c>
      <c r="D20" s="79">
        <v>2</v>
      </c>
      <c r="E20" s="56">
        <v>25</v>
      </c>
      <c r="F20" s="56">
        <f t="shared" si="3"/>
        <v>50</v>
      </c>
      <c r="G20" s="149">
        <f t="shared" ref="G20:G21" si="4">F20*0</f>
        <v>0</v>
      </c>
      <c r="H20" s="85">
        <f t="shared" ref="H20:H21" si="5">E20*1</f>
        <v>25</v>
      </c>
      <c r="I20" s="56">
        <f t="shared" si="2"/>
        <v>50</v>
      </c>
      <c r="J20" s="83"/>
      <c r="N20" s="66"/>
    </row>
    <row r="21" spans="1:14" s="21" customFormat="1" ht="25.5" x14ac:dyDescent="0.25">
      <c r="A21" s="53">
        <v>6</v>
      </c>
      <c r="B21" s="78" t="s">
        <v>1513</v>
      </c>
      <c r="C21" s="53" t="s">
        <v>1505</v>
      </c>
      <c r="D21" s="79">
        <v>1</v>
      </c>
      <c r="E21" s="56">
        <v>75</v>
      </c>
      <c r="F21" s="56">
        <f t="shared" si="3"/>
        <v>75</v>
      </c>
      <c r="G21" s="149">
        <f t="shared" si="4"/>
        <v>0</v>
      </c>
      <c r="H21" s="85">
        <f t="shared" si="5"/>
        <v>75</v>
      </c>
      <c r="I21" s="56">
        <f t="shared" si="2"/>
        <v>75</v>
      </c>
      <c r="J21" s="83"/>
      <c r="N21" s="66"/>
    </row>
    <row r="22" spans="1:14" s="21" customFormat="1" ht="15.75" hidden="1" x14ac:dyDescent="0.25">
      <c r="A22" s="53">
        <v>7</v>
      </c>
      <c r="B22" s="78" t="s">
        <v>1489</v>
      </c>
      <c r="C22" s="53" t="s">
        <v>1506</v>
      </c>
      <c r="D22" s="79">
        <v>4</v>
      </c>
      <c r="E22" s="56">
        <v>12</v>
      </c>
      <c r="F22" s="56">
        <f t="shared" si="3"/>
        <v>48</v>
      </c>
      <c r="G22" s="149">
        <f t="shared" si="0"/>
        <v>8.16</v>
      </c>
      <c r="H22" s="85">
        <f t="shared" si="1"/>
        <v>14.04</v>
      </c>
      <c r="I22" s="56">
        <f t="shared" si="2"/>
        <v>56.16</v>
      </c>
      <c r="J22" s="83"/>
      <c r="N22" s="66"/>
    </row>
    <row r="23" spans="1:14" s="21" customFormat="1" ht="15.75" hidden="1" x14ac:dyDescent="0.25">
      <c r="A23" s="53">
        <v>8</v>
      </c>
      <c r="B23" s="78" t="s">
        <v>1527</v>
      </c>
      <c r="C23" s="53" t="s">
        <v>23</v>
      </c>
      <c r="D23" s="79">
        <v>2</v>
      </c>
      <c r="E23" s="56">
        <v>28</v>
      </c>
      <c r="F23" s="56">
        <f t="shared" si="3"/>
        <v>56</v>
      </c>
      <c r="G23" s="149">
        <f t="shared" si="0"/>
        <v>9.5200000000000014</v>
      </c>
      <c r="H23" s="85">
        <f t="shared" si="1"/>
        <v>32.76</v>
      </c>
      <c r="I23" s="56">
        <f t="shared" si="2"/>
        <v>65.52</v>
      </c>
      <c r="J23" s="83"/>
      <c r="N23" s="66"/>
    </row>
    <row r="24" spans="1:14" s="21" customFormat="1" ht="25.5" hidden="1" x14ac:dyDescent="0.25">
      <c r="A24" s="53">
        <v>9</v>
      </c>
      <c r="B24" s="78" t="s">
        <v>1490</v>
      </c>
      <c r="C24" s="53" t="s">
        <v>1505</v>
      </c>
      <c r="D24" s="79">
        <v>2</v>
      </c>
      <c r="E24" s="56">
        <v>40</v>
      </c>
      <c r="F24" s="56">
        <f t="shared" si="3"/>
        <v>80</v>
      </c>
      <c r="G24" s="149">
        <f t="shared" si="0"/>
        <v>13.600000000000001</v>
      </c>
      <c r="H24" s="85">
        <f t="shared" si="1"/>
        <v>46.8</v>
      </c>
      <c r="I24" s="56">
        <f t="shared" si="2"/>
        <v>93.6</v>
      </c>
      <c r="J24" s="83"/>
      <c r="N24" s="66"/>
    </row>
    <row r="25" spans="1:14" s="21" customFormat="1" ht="15.75" hidden="1" x14ac:dyDescent="0.25">
      <c r="A25" s="53">
        <v>10</v>
      </c>
      <c r="B25" s="78" t="s">
        <v>1528</v>
      </c>
      <c r="C25" s="53" t="s">
        <v>23</v>
      </c>
      <c r="D25" s="79">
        <v>2</v>
      </c>
      <c r="E25" s="56">
        <v>100</v>
      </c>
      <c r="F25" s="56">
        <f t="shared" si="3"/>
        <v>200</v>
      </c>
      <c r="G25" s="149">
        <f t="shared" si="0"/>
        <v>34</v>
      </c>
      <c r="H25" s="85">
        <f t="shared" si="1"/>
        <v>117</v>
      </c>
      <c r="I25" s="56">
        <f t="shared" si="2"/>
        <v>234</v>
      </c>
      <c r="J25" s="83"/>
      <c r="N25" s="66"/>
    </row>
    <row r="26" spans="1:14" s="21" customFormat="1" ht="15.75" x14ac:dyDescent="0.25">
      <c r="A26" s="53">
        <v>11</v>
      </c>
      <c r="B26" s="78" t="s">
        <v>1529</v>
      </c>
      <c r="C26" s="53" t="s">
        <v>23</v>
      </c>
      <c r="D26" s="79">
        <v>2</v>
      </c>
      <c r="E26" s="56">
        <v>28</v>
      </c>
      <c r="F26" s="56">
        <f t="shared" si="3"/>
        <v>56</v>
      </c>
      <c r="G26" s="149">
        <f>F26*0</f>
        <v>0</v>
      </c>
      <c r="H26" s="85">
        <f>E26*1</f>
        <v>28</v>
      </c>
      <c r="I26" s="56">
        <f t="shared" si="2"/>
        <v>56</v>
      </c>
      <c r="J26" s="83"/>
      <c r="N26" s="66"/>
    </row>
    <row r="27" spans="1:14" s="21" customFormat="1" ht="25.5" hidden="1" x14ac:dyDescent="0.25">
      <c r="A27" s="53">
        <v>12</v>
      </c>
      <c r="B27" s="78" t="s">
        <v>1491</v>
      </c>
      <c r="C27" s="53" t="s">
        <v>1506</v>
      </c>
      <c r="D27" s="79">
        <v>2</v>
      </c>
      <c r="E27" s="56">
        <v>105</v>
      </c>
      <c r="F27" s="56">
        <f t="shared" si="3"/>
        <v>210</v>
      </c>
      <c r="G27" s="149">
        <f t="shared" si="0"/>
        <v>35.700000000000003</v>
      </c>
      <c r="H27" s="85">
        <f t="shared" si="1"/>
        <v>122.85</v>
      </c>
      <c r="I27" s="56">
        <f t="shared" si="2"/>
        <v>245.7</v>
      </c>
      <c r="J27" s="83"/>
      <c r="N27" s="66"/>
    </row>
    <row r="28" spans="1:14" s="21" customFormat="1" ht="25.5" hidden="1" x14ac:dyDescent="0.25">
      <c r="A28" s="53">
        <v>13</v>
      </c>
      <c r="B28" s="78" t="s">
        <v>1492</v>
      </c>
      <c r="C28" s="53" t="s">
        <v>1506</v>
      </c>
      <c r="D28" s="79">
        <v>2</v>
      </c>
      <c r="E28" s="56">
        <v>140</v>
      </c>
      <c r="F28" s="56">
        <f t="shared" si="3"/>
        <v>280</v>
      </c>
      <c r="G28" s="149">
        <f t="shared" si="0"/>
        <v>47.6</v>
      </c>
      <c r="H28" s="85">
        <f t="shared" si="1"/>
        <v>163.79999999999998</v>
      </c>
      <c r="I28" s="56">
        <f t="shared" si="2"/>
        <v>327.59999999999997</v>
      </c>
      <c r="J28" s="83"/>
      <c r="N28" s="66"/>
    </row>
    <row r="29" spans="1:14" s="21" customFormat="1" ht="15.75" x14ac:dyDescent="0.25">
      <c r="A29" s="53">
        <v>14</v>
      </c>
      <c r="B29" s="78" t="s">
        <v>1501</v>
      </c>
      <c r="C29" s="53" t="s">
        <v>1506</v>
      </c>
      <c r="D29" s="79">
        <v>2</v>
      </c>
      <c r="E29" s="56">
        <v>28</v>
      </c>
      <c r="F29" s="56">
        <f t="shared" si="3"/>
        <v>56</v>
      </c>
      <c r="G29" s="149">
        <f>F29*0</f>
        <v>0</v>
      </c>
      <c r="H29" s="85">
        <f>E29*1</f>
        <v>28</v>
      </c>
      <c r="I29" s="56">
        <f t="shared" si="2"/>
        <v>56</v>
      </c>
      <c r="J29" s="83"/>
      <c r="N29" s="66"/>
    </row>
    <row r="30" spans="1:14" s="21" customFormat="1" ht="25.5" hidden="1" x14ac:dyDescent="0.25">
      <c r="A30" s="53">
        <v>15</v>
      </c>
      <c r="B30" s="78" t="s">
        <v>1518</v>
      </c>
      <c r="C30" s="53" t="s">
        <v>1505</v>
      </c>
      <c r="D30" s="79">
        <v>2</v>
      </c>
      <c r="E30" s="56">
        <v>25</v>
      </c>
      <c r="F30" s="56">
        <f>D30*E30</f>
        <v>50</v>
      </c>
      <c r="G30" s="149">
        <f t="shared" si="0"/>
        <v>8.5</v>
      </c>
      <c r="H30" s="85">
        <f t="shared" si="1"/>
        <v>29.25</v>
      </c>
      <c r="I30" s="56">
        <f t="shared" si="2"/>
        <v>58.5</v>
      </c>
      <c r="J30" s="83"/>
      <c r="N30" s="66"/>
    </row>
    <row r="31" spans="1:14" s="21" customFormat="1" ht="15.75" hidden="1" x14ac:dyDescent="0.25">
      <c r="A31" s="53">
        <v>16</v>
      </c>
      <c r="B31" s="78" t="s">
        <v>1494</v>
      </c>
      <c r="C31" s="53" t="s">
        <v>1506</v>
      </c>
      <c r="D31" s="79">
        <v>2</v>
      </c>
      <c r="E31" s="56">
        <v>25</v>
      </c>
      <c r="F31" s="56">
        <f t="shared" ref="F31:F39" si="6">D31*E31</f>
        <v>50</v>
      </c>
      <c r="G31" s="149">
        <f t="shared" si="0"/>
        <v>8.5</v>
      </c>
      <c r="H31" s="85">
        <f t="shared" si="1"/>
        <v>29.25</v>
      </c>
      <c r="I31" s="56">
        <f t="shared" si="2"/>
        <v>58.5</v>
      </c>
      <c r="J31" s="83"/>
      <c r="N31" s="66"/>
    </row>
    <row r="32" spans="1:14" s="21" customFormat="1" ht="15.75" hidden="1" x14ac:dyDescent="0.25">
      <c r="A32" s="53">
        <v>17</v>
      </c>
      <c r="B32" s="78" t="s">
        <v>1495</v>
      </c>
      <c r="C32" s="53" t="s">
        <v>1506</v>
      </c>
      <c r="D32" s="79">
        <v>2</v>
      </c>
      <c r="E32" s="56">
        <v>110</v>
      </c>
      <c r="F32" s="56">
        <f t="shared" si="6"/>
        <v>220</v>
      </c>
      <c r="G32" s="149">
        <f t="shared" si="0"/>
        <v>37.400000000000006</v>
      </c>
      <c r="H32" s="85">
        <f t="shared" si="1"/>
        <v>128.69999999999999</v>
      </c>
      <c r="I32" s="56">
        <f t="shared" si="2"/>
        <v>257.39999999999998</v>
      </c>
      <c r="J32" s="83"/>
      <c r="N32" s="66"/>
    </row>
    <row r="33" spans="1:18" s="21" customFormat="1" ht="25.5" hidden="1" x14ac:dyDescent="0.25">
      <c r="A33" s="53">
        <v>18</v>
      </c>
      <c r="B33" s="78" t="s">
        <v>1496</v>
      </c>
      <c r="C33" s="53" t="s">
        <v>1506</v>
      </c>
      <c r="D33" s="79">
        <v>2</v>
      </c>
      <c r="E33" s="56">
        <v>30</v>
      </c>
      <c r="F33" s="56">
        <f t="shared" si="6"/>
        <v>60</v>
      </c>
      <c r="G33" s="149">
        <f t="shared" si="0"/>
        <v>10.200000000000001</v>
      </c>
      <c r="H33" s="85">
        <f t="shared" si="1"/>
        <v>35.099999999999994</v>
      </c>
      <c r="I33" s="56">
        <f t="shared" si="2"/>
        <v>70.199999999999989</v>
      </c>
      <c r="J33" s="83"/>
      <c r="N33" s="66"/>
    </row>
    <row r="34" spans="1:18" s="21" customFormat="1" ht="15.75" x14ac:dyDescent="0.25">
      <c r="A34" s="53">
        <v>19</v>
      </c>
      <c r="B34" s="78" t="s">
        <v>1502</v>
      </c>
      <c r="C34" s="53" t="s">
        <v>1506</v>
      </c>
      <c r="D34" s="79">
        <v>2</v>
      </c>
      <c r="E34" s="56">
        <v>7</v>
      </c>
      <c r="F34" s="56">
        <f t="shared" si="6"/>
        <v>14</v>
      </c>
      <c r="G34" s="149">
        <f>F34*0</f>
        <v>0</v>
      </c>
      <c r="H34" s="85">
        <f>E34*1</f>
        <v>7</v>
      </c>
      <c r="I34" s="56">
        <f t="shared" si="2"/>
        <v>14</v>
      </c>
      <c r="J34" s="83"/>
      <c r="N34" s="66"/>
    </row>
    <row r="35" spans="1:18" s="21" customFormat="1" ht="15.75" hidden="1" x14ac:dyDescent="0.25">
      <c r="A35" s="53">
        <v>20</v>
      </c>
      <c r="B35" s="78" t="s">
        <v>1498</v>
      </c>
      <c r="C35" s="53" t="s">
        <v>1506</v>
      </c>
      <c r="D35" s="79">
        <v>2</v>
      </c>
      <c r="E35" s="56">
        <v>175</v>
      </c>
      <c r="F35" s="56">
        <f t="shared" si="6"/>
        <v>350</v>
      </c>
      <c r="G35" s="149">
        <f t="shared" si="0"/>
        <v>59.500000000000007</v>
      </c>
      <c r="H35" s="85">
        <f t="shared" si="1"/>
        <v>204.75</v>
      </c>
      <c r="I35" s="56">
        <f t="shared" si="2"/>
        <v>409.5</v>
      </c>
      <c r="J35" s="83"/>
      <c r="N35" s="66"/>
    </row>
    <row r="36" spans="1:18" s="21" customFormat="1" ht="15.75" hidden="1" x14ac:dyDescent="0.25">
      <c r="A36" s="53">
        <v>21</v>
      </c>
      <c r="B36" s="78" t="s">
        <v>1544</v>
      </c>
      <c r="C36" s="53" t="s">
        <v>1506</v>
      </c>
      <c r="D36" s="79">
        <v>2</v>
      </c>
      <c r="E36" s="56">
        <v>100</v>
      </c>
      <c r="F36" s="56">
        <f t="shared" si="6"/>
        <v>200</v>
      </c>
      <c r="G36" s="149">
        <f t="shared" si="0"/>
        <v>34</v>
      </c>
      <c r="H36" s="85">
        <f t="shared" si="1"/>
        <v>117</v>
      </c>
      <c r="I36" s="56">
        <f t="shared" si="2"/>
        <v>234</v>
      </c>
      <c r="J36" s="83"/>
      <c r="N36" s="66"/>
    </row>
    <row r="37" spans="1:18" s="21" customFormat="1" ht="15.75" x14ac:dyDescent="0.25">
      <c r="A37" s="53">
        <v>22</v>
      </c>
      <c r="B37" s="78" t="s">
        <v>1949</v>
      </c>
      <c r="C37" s="53" t="s">
        <v>76</v>
      </c>
      <c r="D37" s="79">
        <v>5</v>
      </c>
      <c r="E37" s="56">
        <v>75</v>
      </c>
      <c r="F37" s="56">
        <f t="shared" si="6"/>
        <v>375</v>
      </c>
      <c r="G37" s="149">
        <f t="shared" ref="G37:G39" si="7">F37*0</f>
        <v>0</v>
      </c>
      <c r="H37" s="85">
        <f t="shared" ref="H37:H39" si="8">E37*1</f>
        <v>75</v>
      </c>
      <c r="I37" s="56">
        <f t="shared" si="2"/>
        <v>375</v>
      </c>
      <c r="J37" s="83"/>
      <c r="N37" s="66"/>
    </row>
    <row r="38" spans="1:18" s="21" customFormat="1" ht="15.75" x14ac:dyDescent="0.25">
      <c r="A38" s="53">
        <v>23</v>
      </c>
      <c r="B38" s="78" t="s">
        <v>2242</v>
      </c>
      <c r="C38" s="53" t="s">
        <v>23</v>
      </c>
      <c r="D38" s="79">
        <v>5</v>
      </c>
      <c r="E38" s="56">
        <v>115</v>
      </c>
      <c r="F38" s="56">
        <f t="shared" si="6"/>
        <v>575</v>
      </c>
      <c r="G38" s="149">
        <f t="shared" si="7"/>
        <v>0</v>
      </c>
      <c r="H38" s="85">
        <f t="shared" si="8"/>
        <v>115</v>
      </c>
      <c r="I38" s="56">
        <f t="shared" si="2"/>
        <v>575</v>
      </c>
      <c r="J38" s="83"/>
      <c r="N38" s="66"/>
    </row>
    <row r="39" spans="1:18" s="21" customFormat="1" ht="15.75" x14ac:dyDescent="0.25">
      <c r="A39" s="53">
        <v>24</v>
      </c>
      <c r="B39" s="78" t="s">
        <v>2243</v>
      </c>
      <c r="C39" s="53" t="s">
        <v>23</v>
      </c>
      <c r="D39" s="79">
        <v>3</v>
      </c>
      <c r="E39" s="56">
        <v>65</v>
      </c>
      <c r="F39" s="56">
        <f t="shared" si="6"/>
        <v>195</v>
      </c>
      <c r="G39" s="149">
        <f t="shared" si="7"/>
        <v>0</v>
      </c>
      <c r="H39" s="85">
        <f t="shared" si="8"/>
        <v>65</v>
      </c>
      <c r="I39" s="56">
        <f t="shared" si="2"/>
        <v>195</v>
      </c>
      <c r="J39" s="83"/>
      <c r="N39" s="66"/>
    </row>
    <row r="40" spans="1:18" s="21" customFormat="1" ht="15.75" hidden="1" x14ac:dyDescent="0.25">
      <c r="A40" s="53"/>
      <c r="B40" s="78"/>
      <c r="C40" s="53"/>
      <c r="D40" s="79"/>
      <c r="E40" s="56"/>
      <c r="F40" s="56"/>
      <c r="G40" s="149"/>
      <c r="H40" s="85"/>
      <c r="I40" s="56"/>
      <c r="J40" s="83"/>
      <c r="N40" s="66"/>
    </row>
    <row r="41" spans="1:18" ht="15.75" hidden="1" thickBot="1" x14ac:dyDescent="0.3">
      <c r="A41" s="33"/>
      <c r="B41" s="34" t="s">
        <v>24</v>
      </c>
      <c r="C41" s="35"/>
      <c r="D41" s="62">
        <f>SUM(D16:D40)</f>
        <v>56</v>
      </c>
      <c r="E41" s="35"/>
      <c r="F41" s="62">
        <f>SUM(F16:F40)</f>
        <v>3830</v>
      </c>
      <c r="G41" s="62">
        <f>SUM(G16:G40)</f>
        <v>405.27999999999992</v>
      </c>
      <c r="H41" s="35"/>
      <c r="I41" s="62">
        <f>SUM(I16:I40)</f>
        <v>4235.28</v>
      </c>
      <c r="J41" s="37"/>
    </row>
    <row r="42" spans="1:18" hidden="1" x14ac:dyDescent="0.25">
      <c r="A42" s="33"/>
      <c r="B42" s="34" t="s">
        <v>1215</v>
      </c>
      <c r="C42" s="35"/>
      <c r="D42" s="35"/>
      <c r="E42" s="35"/>
      <c r="F42" s="35"/>
      <c r="G42" s="35"/>
      <c r="H42" s="35"/>
      <c r="I42" s="35"/>
      <c r="J42" s="37"/>
    </row>
    <row r="43" spans="1:18" hidden="1" x14ac:dyDescent="0.25">
      <c r="A43" s="33"/>
      <c r="B43" s="38" t="s">
        <v>25</v>
      </c>
      <c r="C43" s="35"/>
      <c r="D43" s="35"/>
      <c r="E43" s="35"/>
      <c r="F43" s="35"/>
      <c r="G43" s="35"/>
      <c r="H43" s="35"/>
      <c r="I43" s="35"/>
      <c r="J43" s="37"/>
      <c r="M43" s="64"/>
      <c r="O43" s="65"/>
      <c r="P43" s="64"/>
      <c r="Q43" s="64"/>
      <c r="R43" s="64"/>
    </row>
    <row r="44" spans="1:18" ht="30" hidden="1" customHeight="1" x14ac:dyDescent="0.25">
      <c r="B44" s="183" t="s">
        <v>26</v>
      </c>
      <c r="C44" s="183"/>
      <c r="D44" s="183"/>
      <c r="E44" s="183"/>
      <c r="F44" s="183"/>
      <c r="G44" s="183"/>
      <c r="H44" s="183"/>
      <c r="I44" s="183"/>
      <c r="J44" s="183"/>
      <c r="P44" s="64"/>
      <c r="R44" s="65"/>
    </row>
    <row r="45" spans="1:18" hidden="1" x14ac:dyDescent="0.25">
      <c r="B45" t="s">
        <v>634</v>
      </c>
    </row>
    <row r="48" spans="1:18" x14ac:dyDescent="0.25">
      <c r="B48" t="s">
        <v>28</v>
      </c>
      <c r="H48" t="s">
        <v>28</v>
      </c>
    </row>
    <row r="49" spans="2:8" x14ac:dyDescent="0.25">
      <c r="B49" t="s">
        <v>29</v>
      </c>
      <c r="H49" t="s">
        <v>30</v>
      </c>
    </row>
  </sheetData>
  <autoFilter ref="A15:J45" xr:uid="{00000000-0009-0000-0000-000000000000}">
    <filterColumn colId="6">
      <filters>
        <filter val="-"/>
      </filters>
    </filterColumn>
  </autoFilter>
  <mergeCells count="5">
    <mergeCell ref="A6:J6"/>
    <mergeCell ref="I7:J7"/>
    <mergeCell ref="I8:J8"/>
    <mergeCell ref="I9:J9"/>
    <mergeCell ref="B44:J44"/>
  </mergeCells>
  <hyperlinks>
    <hyperlink ref="H5" r:id="rId1" xr:uid="{98404365-35E2-48EC-8656-97A9A76FE50E}"/>
  </hyperlinks>
  <pageMargins left="0.2" right="0.1" top="0.25" bottom="0.25" header="0.3" footer="0.3"/>
  <pageSetup paperSize="9" orientation="portrait" r:id="rId2"/>
  <drawing r:id="rId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J25"/>
  <sheetViews>
    <sheetView workbookViewId="0">
      <selection activeCell="B20" sqref="B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361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371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363</v>
      </c>
      <c r="D10" s="10"/>
      <c r="E10" s="10"/>
      <c r="F10" s="10"/>
    </row>
    <row r="11" spans="1:10" x14ac:dyDescent="0.25">
      <c r="B11" t="s">
        <v>11</v>
      </c>
      <c r="C11" s="10" t="s">
        <v>364</v>
      </c>
      <c r="D11" s="11"/>
      <c r="E11" s="11"/>
      <c r="F11" s="11"/>
    </row>
    <row r="12" spans="1:10" x14ac:dyDescent="0.25">
      <c r="A12" s="12"/>
      <c r="B12" s="13"/>
      <c r="C12" s="14" t="s">
        <v>365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 t="s">
        <v>369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2</v>
      </c>
      <c r="B16" s="23" t="s">
        <v>368</v>
      </c>
      <c r="C16" s="24" t="s">
        <v>23</v>
      </c>
      <c r="D16" s="25">
        <v>2</v>
      </c>
      <c r="E16" s="26">
        <v>2000</v>
      </c>
      <c r="F16" s="27">
        <f>D16*E16</f>
        <v>4000</v>
      </c>
      <c r="G16" s="27">
        <f>F16*0.17</f>
        <v>680</v>
      </c>
      <c r="H16" s="39">
        <f>E16*1.17</f>
        <v>2340</v>
      </c>
      <c r="I16" s="27">
        <f>H16*D16</f>
        <v>4680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2</v>
      </c>
      <c r="E18" s="35"/>
      <c r="F18" s="36">
        <f>SUM(F16:F16)</f>
        <v>4000</v>
      </c>
      <c r="G18" s="36">
        <f>SUM(G16:G16)</f>
        <v>680</v>
      </c>
      <c r="H18" s="35"/>
      <c r="I18" s="36">
        <f>SUM(I16:I16)</f>
        <v>4680</v>
      </c>
      <c r="J18" s="37"/>
    </row>
    <row r="19" spans="1:10" ht="15.75" thickTop="1" x14ac:dyDescent="0.25">
      <c r="A19" s="33"/>
      <c r="B19" s="34" t="s">
        <v>372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3900-000000000000}"/>
  </hyperlinks>
  <pageMargins left="0.2" right="0.1" top="0.25" bottom="0.25" header="0.3" footer="0.3"/>
  <pageSetup paperSize="9" orientation="portrait" horizontalDpi="4294967295" verticalDpi="4294967295" r:id="rId2"/>
  <drawing r:id="rId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J26"/>
  <sheetViews>
    <sheetView workbookViewId="0">
      <selection activeCell="B2" sqref="B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361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362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363</v>
      </c>
      <c r="D10" s="10"/>
      <c r="E10" s="10"/>
      <c r="F10" s="10"/>
    </row>
    <row r="11" spans="1:10" x14ac:dyDescent="0.25">
      <c r="B11" t="s">
        <v>11</v>
      </c>
      <c r="C11" s="10" t="s">
        <v>364</v>
      </c>
      <c r="D11" s="11"/>
      <c r="E11" s="11"/>
      <c r="F11" s="11"/>
    </row>
    <row r="12" spans="1:10" x14ac:dyDescent="0.25">
      <c r="A12" s="12"/>
      <c r="B12" s="13"/>
      <c r="C12" s="14" t="s">
        <v>365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 t="s">
        <v>369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366</v>
      </c>
      <c r="C16" s="24" t="s">
        <v>23</v>
      </c>
      <c r="D16" s="25">
        <v>2</v>
      </c>
      <c r="E16" s="26">
        <v>1800</v>
      </c>
      <c r="F16" s="27">
        <f>D16*E16</f>
        <v>3600</v>
      </c>
      <c r="G16" s="27">
        <f>F16*0.17</f>
        <v>612</v>
      </c>
      <c r="H16" s="39">
        <f>E16*1.17</f>
        <v>2106</v>
      </c>
      <c r="I16" s="27">
        <f>H16*D16</f>
        <v>4212</v>
      </c>
      <c r="J16" s="28"/>
    </row>
    <row r="17" spans="1:10" s="21" customFormat="1" ht="25.5" x14ac:dyDescent="0.25">
      <c r="A17" s="22">
        <v>2</v>
      </c>
      <c r="B17" s="23" t="s">
        <v>367</v>
      </c>
      <c r="C17" s="24" t="s">
        <v>23</v>
      </c>
      <c r="D17" s="25">
        <v>2</v>
      </c>
      <c r="E17" s="26">
        <v>1800</v>
      </c>
      <c r="F17" s="27">
        <f>D17*E17</f>
        <v>3600</v>
      </c>
      <c r="G17" s="27">
        <f>F17*0.17</f>
        <v>612</v>
      </c>
      <c r="H17" s="39">
        <f>E17*1.17</f>
        <v>2106</v>
      </c>
      <c r="I17" s="27">
        <f>H17*D17</f>
        <v>4212</v>
      </c>
      <c r="J17" s="28"/>
    </row>
    <row r="18" spans="1:10" s="21" customFormat="1" x14ac:dyDescent="0.25">
      <c r="A18" s="29"/>
      <c r="B18" s="30"/>
      <c r="C18" s="31"/>
      <c r="D18" s="25"/>
      <c r="E18" s="26"/>
      <c r="F18" s="32"/>
      <c r="G18" s="32"/>
      <c r="H18" s="26"/>
      <c r="I18" s="32"/>
      <c r="J18" s="28"/>
    </row>
    <row r="19" spans="1:10" ht="15.75" thickBot="1" x14ac:dyDescent="0.3">
      <c r="A19" s="33"/>
      <c r="B19" s="34" t="s">
        <v>24</v>
      </c>
      <c r="C19" s="35"/>
      <c r="D19" s="36">
        <f>SUM(D16:D17)</f>
        <v>4</v>
      </c>
      <c r="E19" s="35"/>
      <c r="F19" s="36">
        <f>SUM(F16:F17)</f>
        <v>7200</v>
      </c>
      <c r="G19" s="36">
        <f>SUM(G16:G17)</f>
        <v>1224</v>
      </c>
      <c r="H19" s="35"/>
      <c r="I19" s="36">
        <f>SUM(I16:I17)</f>
        <v>8424</v>
      </c>
      <c r="J19" s="37"/>
    </row>
    <row r="20" spans="1:10" ht="15.75" thickTop="1" x14ac:dyDescent="0.25">
      <c r="A20" s="33"/>
      <c r="B20" s="34" t="s">
        <v>370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27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mergeCells count="5">
    <mergeCell ref="A6:J6"/>
    <mergeCell ref="I7:J7"/>
    <mergeCell ref="I8:J8"/>
    <mergeCell ref="I9:J9"/>
    <mergeCell ref="B22:J22"/>
  </mergeCells>
  <hyperlinks>
    <hyperlink ref="H5" r:id="rId1" xr:uid="{00000000-0004-0000-3A00-000000000000}"/>
  </hyperlinks>
  <pageMargins left="0.2" right="0.1" top="0.25" bottom="0.25" header="0.3" footer="0.3"/>
  <pageSetup paperSize="9" orientation="portrait" horizontalDpi="4294967295" verticalDpi="4294967295" r:id="rId2"/>
  <drawing r:id="rId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J28"/>
  <sheetViews>
    <sheetView workbookViewId="0">
      <selection activeCell="J19" sqref="J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359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358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354</v>
      </c>
      <c r="C16" s="24" t="s">
        <v>76</v>
      </c>
      <c r="D16" s="25">
        <v>100</v>
      </c>
      <c r="E16" s="26">
        <f>85/117*117</f>
        <v>85</v>
      </c>
      <c r="F16" s="27">
        <f>D16*E16</f>
        <v>8500</v>
      </c>
      <c r="G16" s="27">
        <f>F16*0.17</f>
        <v>1445</v>
      </c>
      <c r="H16" s="39">
        <f>E16*1.17</f>
        <v>99.449999999999989</v>
      </c>
      <c r="I16" s="27">
        <f>H16*D16</f>
        <v>9944.9999999999982</v>
      </c>
      <c r="J16" s="28"/>
    </row>
    <row r="17" spans="1:10" s="21" customFormat="1" x14ac:dyDescent="0.25">
      <c r="A17" s="22">
        <v>2</v>
      </c>
      <c r="B17" s="23" t="s">
        <v>355</v>
      </c>
      <c r="C17" s="24" t="s">
        <v>76</v>
      </c>
      <c r="D17" s="25">
        <v>100</v>
      </c>
      <c r="E17" s="26">
        <f>44/117*117</f>
        <v>44</v>
      </c>
      <c r="F17" s="27">
        <f>D17*E17</f>
        <v>4400</v>
      </c>
      <c r="G17" s="27">
        <f>F17*0.17</f>
        <v>748</v>
      </c>
      <c r="H17" s="39">
        <f>E17*1.17</f>
        <v>51.48</v>
      </c>
      <c r="I17" s="27">
        <f>H17*D17</f>
        <v>5148</v>
      </c>
      <c r="J17" s="28"/>
    </row>
    <row r="18" spans="1:10" s="21" customFormat="1" x14ac:dyDescent="0.25">
      <c r="A18" s="22">
        <v>2</v>
      </c>
      <c r="B18" s="23" t="s">
        <v>356</v>
      </c>
      <c r="C18" s="24" t="s">
        <v>76</v>
      </c>
      <c r="D18" s="25">
        <v>200</v>
      </c>
      <c r="E18" s="26">
        <f>100/117*117</f>
        <v>100</v>
      </c>
      <c r="F18" s="27">
        <f>D18*E18</f>
        <v>20000</v>
      </c>
      <c r="G18" s="27">
        <f>F18*0.17</f>
        <v>3400.0000000000005</v>
      </c>
      <c r="H18" s="39">
        <f>E18*1.17</f>
        <v>117</v>
      </c>
      <c r="I18" s="27">
        <f>H18*D18</f>
        <v>23400</v>
      </c>
      <c r="J18" s="28"/>
    </row>
    <row r="19" spans="1:10" s="21" customFormat="1" ht="25.5" x14ac:dyDescent="0.25">
      <c r="A19" s="22">
        <v>2</v>
      </c>
      <c r="B19" s="23" t="s">
        <v>357</v>
      </c>
      <c r="C19" s="24" t="s">
        <v>23</v>
      </c>
      <c r="D19" s="25">
        <v>10</v>
      </c>
      <c r="E19" s="26">
        <f>2350/117*117</f>
        <v>2350</v>
      </c>
      <c r="F19" s="27">
        <f>D19*E19</f>
        <v>23500</v>
      </c>
      <c r="G19" s="27">
        <f>F19*0.17</f>
        <v>3995.0000000000005</v>
      </c>
      <c r="H19" s="39">
        <f>E19*1.17</f>
        <v>2749.5</v>
      </c>
      <c r="I19" s="27">
        <f>H19*D19</f>
        <v>27495</v>
      </c>
      <c r="J19" s="28"/>
    </row>
    <row r="20" spans="1:10" s="21" customFormat="1" x14ac:dyDescent="0.25">
      <c r="A20" s="29"/>
      <c r="B20" s="30"/>
      <c r="C20" s="31"/>
      <c r="D20" s="25"/>
      <c r="E20" s="26"/>
      <c r="F20" s="32"/>
      <c r="G20" s="32"/>
      <c r="H20" s="26"/>
      <c r="I20" s="32"/>
      <c r="J20" s="28"/>
    </row>
    <row r="21" spans="1:10" ht="15.75" thickBot="1" x14ac:dyDescent="0.3">
      <c r="A21" s="33"/>
      <c r="B21" s="34" t="s">
        <v>24</v>
      </c>
      <c r="C21" s="35"/>
      <c r="D21" s="36">
        <f>SUM(D16:D19)</f>
        <v>410</v>
      </c>
      <c r="E21" s="35"/>
      <c r="F21" s="36">
        <f>SUM(F16:F19)</f>
        <v>56400</v>
      </c>
      <c r="G21" s="36">
        <f>SUM(G16:G19)</f>
        <v>9588</v>
      </c>
      <c r="H21" s="35"/>
      <c r="I21" s="36">
        <f>SUM(I16:I19)</f>
        <v>65988</v>
      </c>
      <c r="J21" s="37"/>
    </row>
    <row r="22" spans="1:10" ht="15.75" thickTop="1" x14ac:dyDescent="0.25">
      <c r="A22" s="33"/>
      <c r="B22" s="34" t="s">
        <v>360</v>
      </c>
      <c r="C22" s="35"/>
      <c r="D22" s="35"/>
      <c r="E22" s="35"/>
      <c r="F22" s="35"/>
      <c r="G22" s="35"/>
      <c r="H22" s="35"/>
      <c r="I22" s="35"/>
      <c r="J22" s="37"/>
    </row>
    <row r="23" spans="1:10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</row>
    <row r="24" spans="1:10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</row>
    <row r="25" spans="1:10" x14ac:dyDescent="0.25">
      <c r="B25" t="s">
        <v>27</v>
      </c>
    </row>
    <row r="27" spans="1:10" x14ac:dyDescent="0.25">
      <c r="B27" t="s">
        <v>28</v>
      </c>
      <c r="H27" t="s">
        <v>28</v>
      </c>
    </row>
    <row r="28" spans="1:10" x14ac:dyDescent="0.25">
      <c r="B28" t="s">
        <v>29</v>
      </c>
      <c r="H28" t="s">
        <v>30</v>
      </c>
    </row>
  </sheetData>
  <mergeCells count="5">
    <mergeCell ref="A6:J6"/>
    <mergeCell ref="I7:J7"/>
    <mergeCell ref="I8:J8"/>
    <mergeCell ref="I9:J9"/>
    <mergeCell ref="B24:J24"/>
  </mergeCells>
  <hyperlinks>
    <hyperlink ref="H5" r:id="rId1" xr:uid="{00000000-0004-0000-3B00-000000000000}"/>
  </hyperlinks>
  <pageMargins left="0.2" right="0.1" top="0.25" bottom="0.25" header="0.3" footer="0.3"/>
  <pageSetup paperSize="9" orientation="portrait" r:id="rId2"/>
  <drawing r:id="rId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J26"/>
  <sheetViews>
    <sheetView topLeftCell="A6" workbookViewId="0">
      <selection activeCell="C20" sqref="C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352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353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108</v>
      </c>
      <c r="C16" s="24" t="s">
        <v>56</v>
      </c>
      <c r="D16" s="25">
        <v>20</v>
      </c>
      <c r="E16" s="26">
        <f>380/117*100</f>
        <v>324.78632478632477</v>
      </c>
      <c r="F16" s="27">
        <f>D16*E16</f>
        <v>6495.7264957264952</v>
      </c>
      <c r="G16" s="27">
        <f>F16*0.17</f>
        <v>1104.2735042735042</v>
      </c>
      <c r="H16" s="39">
        <f>E16*1.17</f>
        <v>379.99999999999994</v>
      </c>
      <c r="I16" s="27">
        <f>H16*D16</f>
        <v>7599.9999999999991</v>
      </c>
      <c r="J16" s="28"/>
    </row>
    <row r="17" spans="1:10" s="21" customFormat="1" ht="25.5" x14ac:dyDescent="0.25">
      <c r="A17" s="22">
        <v>2</v>
      </c>
      <c r="B17" s="23" t="s">
        <v>216</v>
      </c>
      <c r="C17" s="24" t="s">
        <v>56</v>
      </c>
      <c r="D17" s="25">
        <v>2</v>
      </c>
      <c r="E17" s="26">
        <f>400/117*100</f>
        <v>341.88034188034186</v>
      </c>
      <c r="F17" s="27">
        <f>D17*E17</f>
        <v>683.76068376068372</v>
      </c>
      <c r="G17" s="27">
        <f>F17*0.17</f>
        <v>116.23931623931624</v>
      </c>
      <c r="H17" s="39">
        <f>E17*1.17</f>
        <v>399.99999999999994</v>
      </c>
      <c r="I17" s="27">
        <f>H17*D17</f>
        <v>799.99999999999989</v>
      </c>
      <c r="J17" s="28"/>
    </row>
    <row r="18" spans="1:10" s="21" customFormat="1" x14ac:dyDescent="0.25">
      <c r="A18" s="29"/>
      <c r="B18" s="30"/>
      <c r="C18" s="31"/>
      <c r="D18" s="25"/>
      <c r="E18" s="26"/>
      <c r="F18" s="32"/>
      <c r="G18" s="32"/>
      <c r="H18" s="26"/>
      <c r="I18" s="32"/>
      <c r="J18" s="28"/>
    </row>
    <row r="19" spans="1:10" ht="15.75" thickBot="1" x14ac:dyDescent="0.3">
      <c r="A19" s="33"/>
      <c r="B19" s="34" t="s">
        <v>24</v>
      </c>
      <c r="C19" s="35"/>
      <c r="D19" s="36">
        <f>SUM(D16:D17)</f>
        <v>22</v>
      </c>
      <c r="E19" s="35"/>
      <c r="F19" s="36">
        <f>SUM(F16:F17)</f>
        <v>7179.4871794871788</v>
      </c>
      <c r="G19" s="36">
        <f>SUM(G16:G17)</f>
        <v>1220.5128205128203</v>
      </c>
      <c r="H19" s="35"/>
      <c r="I19" s="36">
        <f>SUM(I16:I17)</f>
        <v>8399.9999999999982</v>
      </c>
      <c r="J19" s="37"/>
    </row>
    <row r="20" spans="1:10" ht="15.75" thickTop="1" x14ac:dyDescent="0.25">
      <c r="A20" s="33"/>
      <c r="B20" s="34" t="s">
        <v>235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27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mergeCells count="5">
    <mergeCell ref="A6:J6"/>
    <mergeCell ref="I7:J7"/>
    <mergeCell ref="I8:J8"/>
    <mergeCell ref="I9:J9"/>
    <mergeCell ref="B22:J22"/>
  </mergeCells>
  <hyperlinks>
    <hyperlink ref="H5" r:id="rId1" xr:uid="{00000000-0004-0000-3C00-000000000000}"/>
  </hyperlinks>
  <pageMargins left="0.2" right="0.1" top="0.25" bottom="0.25" header="0.3" footer="0.3"/>
  <pageSetup paperSize="9" orientation="portrait" r:id="rId2"/>
  <drawing r:id="rId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J36"/>
  <sheetViews>
    <sheetView workbookViewId="0">
      <selection activeCell="A9" sqref="A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336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351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286</v>
      </c>
      <c r="C16" s="24" t="s">
        <v>165</v>
      </c>
      <c r="D16" s="25">
        <v>10</v>
      </c>
      <c r="E16" s="26">
        <v>70</v>
      </c>
      <c r="F16" s="27">
        <f t="shared" ref="F16:F27" si="0">D16*E16</f>
        <v>700</v>
      </c>
      <c r="G16" s="27">
        <f>F16*0</f>
        <v>0</v>
      </c>
      <c r="H16" s="39">
        <f>E16*1</f>
        <v>70</v>
      </c>
      <c r="I16" s="27">
        <f t="shared" ref="I16:I27" si="1">H16*D16</f>
        <v>700</v>
      </c>
      <c r="J16" s="28"/>
    </row>
    <row r="17" spans="1:10" s="21" customFormat="1" x14ac:dyDescent="0.25">
      <c r="A17" s="22">
        <v>2</v>
      </c>
      <c r="B17" s="23" t="s">
        <v>340</v>
      </c>
      <c r="C17" s="24" t="s">
        <v>165</v>
      </c>
      <c r="D17" s="25">
        <v>2</v>
      </c>
      <c r="E17" s="26">
        <f>525.6/117*100</f>
        <v>449.23076923076923</v>
      </c>
      <c r="F17" s="27">
        <f t="shared" si="0"/>
        <v>898.46153846153845</v>
      </c>
      <c r="G17" s="27">
        <f>F17*0.17</f>
        <v>152.73846153846154</v>
      </c>
      <c r="H17" s="39">
        <f>E17*1.17</f>
        <v>525.59999999999991</v>
      </c>
      <c r="I17" s="27">
        <f t="shared" si="1"/>
        <v>1051.1999999999998</v>
      </c>
      <c r="J17" s="28"/>
    </row>
    <row r="18" spans="1:10" s="21" customFormat="1" x14ac:dyDescent="0.25">
      <c r="A18" s="22">
        <v>3</v>
      </c>
      <c r="B18" s="23" t="s">
        <v>341</v>
      </c>
      <c r="C18" s="24" t="s">
        <v>165</v>
      </c>
      <c r="D18" s="25">
        <v>1</v>
      </c>
      <c r="E18" s="26">
        <v>234</v>
      </c>
      <c r="F18" s="27">
        <f t="shared" si="0"/>
        <v>234</v>
      </c>
      <c r="G18" s="27">
        <f>F18*0</f>
        <v>0</v>
      </c>
      <c r="H18" s="39">
        <f>E18*1</f>
        <v>234</v>
      </c>
      <c r="I18" s="27">
        <f t="shared" si="1"/>
        <v>234</v>
      </c>
      <c r="J18" s="28"/>
    </row>
    <row r="19" spans="1:10" s="21" customFormat="1" x14ac:dyDescent="0.25">
      <c r="A19" s="22">
        <v>4</v>
      </c>
      <c r="B19" s="23" t="s">
        <v>342</v>
      </c>
      <c r="C19" s="24" t="s">
        <v>165</v>
      </c>
      <c r="D19" s="25">
        <v>1</v>
      </c>
      <c r="E19" s="26">
        <v>351</v>
      </c>
      <c r="F19" s="27">
        <f t="shared" si="0"/>
        <v>351</v>
      </c>
      <c r="G19" s="27">
        <f>F19*0</f>
        <v>0</v>
      </c>
      <c r="H19" s="39">
        <f>E19*1</f>
        <v>351</v>
      </c>
      <c r="I19" s="27">
        <f t="shared" si="1"/>
        <v>351</v>
      </c>
      <c r="J19" s="28"/>
    </row>
    <row r="20" spans="1:10" s="21" customFormat="1" x14ac:dyDescent="0.25">
      <c r="A20" s="22">
        <v>5</v>
      </c>
      <c r="B20" s="23" t="s">
        <v>343</v>
      </c>
      <c r="C20" s="24" t="s">
        <v>76</v>
      </c>
      <c r="D20" s="25">
        <v>12</v>
      </c>
      <c r="E20" s="26">
        <v>72</v>
      </c>
      <c r="F20" s="27">
        <f t="shared" si="0"/>
        <v>864</v>
      </c>
      <c r="G20" s="27">
        <f>F20*0</f>
        <v>0</v>
      </c>
      <c r="H20" s="39">
        <f>E20*1</f>
        <v>72</v>
      </c>
      <c r="I20" s="27">
        <f t="shared" si="1"/>
        <v>864</v>
      </c>
      <c r="J20" s="28"/>
    </row>
    <row r="21" spans="1:10" s="21" customFormat="1" x14ac:dyDescent="0.25">
      <c r="A21" s="22">
        <v>6</v>
      </c>
      <c r="B21" s="23" t="s">
        <v>188</v>
      </c>
      <c r="C21" s="24" t="s">
        <v>23</v>
      </c>
      <c r="D21" s="25">
        <v>30</v>
      </c>
      <c r="E21" s="26">
        <f>99.45/117*100</f>
        <v>85</v>
      </c>
      <c r="F21" s="27">
        <f t="shared" si="0"/>
        <v>2550</v>
      </c>
      <c r="G21" s="27">
        <f t="shared" ref="G21:G27" si="2">F21*0.17</f>
        <v>433.50000000000006</v>
      </c>
      <c r="H21" s="39">
        <f t="shared" ref="H21:H27" si="3">E21*1.17</f>
        <v>99.449999999999989</v>
      </c>
      <c r="I21" s="27">
        <f t="shared" si="1"/>
        <v>2983.4999999999995</v>
      </c>
      <c r="J21" s="28"/>
    </row>
    <row r="22" spans="1:10" s="21" customFormat="1" x14ac:dyDescent="0.25">
      <c r="A22" s="22">
        <v>7</v>
      </c>
      <c r="B22" s="23" t="s">
        <v>344</v>
      </c>
      <c r="C22" s="24" t="s">
        <v>23</v>
      </c>
      <c r="D22" s="25">
        <v>6</v>
      </c>
      <c r="E22" s="26">
        <f>198.9/117*100</f>
        <v>170</v>
      </c>
      <c r="F22" s="27">
        <f t="shared" si="0"/>
        <v>1020</v>
      </c>
      <c r="G22" s="27">
        <f t="shared" si="2"/>
        <v>173.4</v>
      </c>
      <c r="H22" s="39">
        <f t="shared" si="3"/>
        <v>198.89999999999998</v>
      </c>
      <c r="I22" s="27">
        <f t="shared" si="1"/>
        <v>1193.3999999999999</v>
      </c>
      <c r="J22" s="28"/>
    </row>
    <row r="23" spans="1:10" s="21" customFormat="1" x14ac:dyDescent="0.25">
      <c r="A23" s="22">
        <v>8</v>
      </c>
      <c r="B23" s="23" t="s">
        <v>345</v>
      </c>
      <c r="C23" s="24" t="s">
        <v>23</v>
      </c>
      <c r="D23" s="25">
        <v>36</v>
      </c>
      <c r="E23" s="26">
        <f>64.35/117*100</f>
        <v>54.999999999999993</v>
      </c>
      <c r="F23" s="27">
        <f t="shared" si="0"/>
        <v>1979.9999999999998</v>
      </c>
      <c r="G23" s="27">
        <f t="shared" si="2"/>
        <v>336.59999999999997</v>
      </c>
      <c r="H23" s="39">
        <f t="shared" si="3"/>
        <v>64.349999999999994</v>
      </c>
      <c r="I23" s="27">
        <f t="shared" si="1"/>
        <v>2316.6</v>
      </c>
      <c r="J23" s="28"/>
    </row>
    <row r="24" spans="1:10" s="21" customFormat="1" x14ac:dyDescent="0.25">
      <c r="A24" s="22">
        <v>9</v>
      </c>
      <c r="B24" s="23" t="s">
        <v>346</v>
      </c>
      <c r="C24" s="24" t="s">
        <v>23</v>
      </c>
      <c r="D24" s="25">
        <v>20</v>
      </c>
      <c r="E24" s="26">
        <f>81.9/117*100</f>
        <v>70</v>
      </c>
      <c r="F24" s="27">
        <f t="shared" si="0"/>
        <v>1400</v>
      </c>
      <c r="G24" s="27">
        <f t="shared" si="2"/>
        <v>238.00000000000003</v>
      </c>
      <c r="H24" s="39">
        <f t="shared" si="3"/>
        <v>81.899999999999991</v>
      </c>
      <c r="I24" s="27">
        <f t="shared" si="1"/>
        <v>1637.9999999999998</v>
      </c>
      <c r="J24" s="28"/>
    </row>
    <row r="25" spans="1:10" s="21" customFormat="1" x14ac:dyDescent="0.25">
      <c r="A25" s="22">
        <v>10</v>
      </c>
      <c r="B25" s="23" t="s">
        <v>347</v>
      </c>
      <c r="C25" s="24" t="s">
        <v>165</v>
      </c>
      <c r="D25" s="25">
        <v>2</v>
      </c>
      <c r="E25" s="26">
        <f>421.2/117*100</f>
        <v>360</v>
      </c>
      <c r="F25" s="27">
        <f t="shared" si="0"/>
        <v>720</v>
      </c>
      <c r="G25" s="27">
        <f t="shared" si="2"/>
        <v>122.4</v>
      </c>
      <c r="H25" s="39">
        <f t="shared" si="3"/>
        <v>421.2</v>
      </c>
      <c r="I25" s="27">
        <f t="shared" si="1"/>
        <v>842.4</v>
      </c>
      <c r="J25" s="28"/>
    </row>
    <row r="26" spans="1:10" s="21" customFormat="1" x14ac:dyDescent="0.25">
      <c r="A26" s="22">
        <v>11</v>
      </c>
      <c r="B26" s="23" t="s">
        <v>348</v>
      </c>
      <c r="C26" s="24" t="s">
        <v>23</v>
      </c>
      <c r="D26" s="25">
        <v>18</v>
      </c>
      <c r="E26" s="26">
        <f>204.75/117*100</f>
        <v>175</v>
      </c>
      <c r="F26" s="27">
        <f t="shared" si="0"/>
        <v>3150</v>
      </c>
      <c r="G26" s="27">
        <f t="shared" si="2"/>
        <v>535.5</v>
      </c>
      <c r="H26" s="39">
        <f t="shared" si="3"/>
        <v>204.75</v>
      </c>
      <c r="I26" s="27">
        <f t="shared" si="1"/>
        <v>3685.5</v>
      </c>
      <c r="J26" s="28"/>
    </row>
    <row r="27" spans="1:10" s="21" customFormat="1" x14ac:dyDescent="0.25">
      <c r="A27" s="22">
        <v>12</v>
      </c>
      <c r="B27" s="23" t="s">
        <v>349</v>
      </c>
      <c r="C27" s="24" t="s">
        <v>76</v>
      </c>
      <c r="D27" s="25">
        <v>8</v>
      </c>
      <c r="E27" s="26">
        <f>362.7/117*100</f>
        <v>310</v>
      </c>
      <c r="F27" s="27">
        <f t="shared" si="0"/>
        <v>2480</v>
      </c>
      <c r="G27" s="27">
        <f t="shared" si="2"/>
        <v>421.6</v>
      </c>
      <c r="H27" s="39">
        <f t="shared" si="3"/>
        <v>362.7</v>
      </c>
      <c r="I27" s="27">
        <f t="shared" si="1"/>
        <v>2901.6</v>
      </c>
      <c r="J27" s="28"/>
    </row>
    <row r="28" spans="1:10" s="21" customFormat="1" x14ac:dyDescent="0.25">
      <c r="A28" s="29"/>
      <c r="B28" s="30"/>
      <c r="C28" s="31"/>
      <c r="D28" s="25"/>
      <c r="E28" s="26"/>
      <c r="F28" s="32"/>
      <c r="G28" s="32"/>
      <c r="H28" s="26"/>
      <c r="I28" s="32"/>
      <c r="J28" s="28"/>
    </row>
    <row r="29" spans="1:10" ht="15.75" thickBot="1" x14ac:dyDescent="0.3">
      <c r="A29" s="33"/>
      <c r="B29" s="34" t="s">
        <v>24</v>
      </c>
      <c r="C29" s="35"/>
      <c r="D29" s="36">
        <f>SUM(D16:D27)</f>
        <v>146</v>
      </c>
      <c r="E29" s="35"/>
      <c r="F29" s="36">
        <f>SUM(F16:F27)</f>
        <v>16347.461538461539</v>
      </c>
      <c r="G29" s="36">
        <f>SUM(G16:G27)</f>
        <v>2413.7384615384617</v>
      </c>
      <c r="H29" s="35"/>
      <c r="I29" s="36">
        <f>SUM(I16:I27)</f>
        <v>18761.199999999997</v>
      </c>
      <c r="J29" s="37"/>
    </row>
    <row r="30" spans="1:10" ht="15.75" thickTop="1" x14ac:dyDescent="0.25">
      <c r="A30" s="33"/>
      <c r="B30" s="34" t="s">
        <v>350</v>
      </c>
      <c r="C30" s="35"/>
      <c r="D30" s="35"/>
      <c r="E30" s="35"/>
      <c r="F30" s="35"/>
      <c r="G30" s="35"/>
      <c r="H30" s="35"/>
      <c r="I30" s="35"/>
      <c r="J30" s="37"/>
    </row>
    <row r="31" spans="1:10" x14ac:dyDescent="0.25">
      <c r="A31" s="33"/>
      <c r="B31" s="38" t="s">
        <v>25</v>
      </c>
      <c r="C31" s="35"/>
      <c r="D31" s="35"/>
      <c r="E31" s="35"/>
      <c r="F31" s="35"/>
      <c r="G31" s="35"/>
      <c r="H31" s="35"/>
      <c r="I31" s="35"/>
      <c r="J31" s="37"/>
    </row>
    <row r="32" spans="1:10" ht="30" customHeight="1" x14ac:dyDescent="0.25">
      <c r="B32" s="183" t="s">
        <v>26</v>
      </c>
      <c r="C32" s="183"/>
      <c r="D32" s="183"/>
      <c r="E32" s="183"/>
      <c r="F32" s="183"/>
      <c r="G32" s="183"/>
      <c r="H32" s="183"/>
      <c r="I32" s="183"/>
      <c r="J32" s="183"/>
    </row>
    <row r="33" spans="2:8" x14ac:dyDescent="0.25">
      <c r="B33" t="s">
        <v>27</v>
      </c>
    </row>
    <row r="35" spans="2:8" x14ac:dyDescent="0.25">
      <c r="B35" t="s">
        <v>28</v>
      </c>
      <c r="H35" t="s">
        <v>28</v>
      </c>
    </row>
    <row r="36" spans="2:8" x14ac:dyDescent="0.25">
      <c r="B36" t="s">
        <v>29</v>
      </c>
      <c r="H36" t="s">
        <v>30</v>
      </c>
    </row>
  </sheetData>
  <mergeCells count="5">
    <mergeCell ref="A6:J6"/>
    <mergeCell ref="I7:J7"/>
    <mergeCell ref="I8:J8"/>
    <mergeCell ref="I9:J9"/>
    <mergeCell ref="B32:J32"/>
  </mergeCells>
  <hyperlinks>
    <hyperlink ref="H5" r:id="rId1" xr:uid="{00000000-0004-0000-3D00-000000000000}"/>
  </hyperlinks>
  <pageMargins left="0.2" right="0.1" top="0.25" bottom="0.25" header="0.3" footer="0.3"/>
  <pageSetup paperSize="9" orientation="portrait" r:id="rId2"/>
  <drawing r:id="rId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J25"/>
  <sheetViews>
    <sheetView topLeftCell="A4" workbookViewId="0">
      <selection activeCell="A23" sqref="A2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336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337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338</v>
      </c>
      <c r="C16" s="24" t="s">
        <v>76</v>
      </c>
      <c r="D16" s="25">
        <v>6</v>
      </c>
      <c r="E16" s="26">
        <f>936/117*100</f>
        <v>800</v>
      </c>
      <c r="F16" s="27">
        <f>D16*E16</f>
        <v>4800</v>
      </c>
      <c r="G16" s="27">
        <f>F16*0.17</f>
        <v>816.00000000000011</v>
      </c>
      <c r="H16" s="39">
        <f>E16*1.17</f>
        <v>936</v>
      </c>
      <c r="I16" s="27">
        <f>H16*D16</f>
        <v>5616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6</v>
      </c>
      <c r="E18" s="35"/>
      <c r="F18" s="36">
        <f>SUM(F16:F16)</f>
        <v>4800</v>
      </c>
      <c r="G18" s="36">
        <f>SUM(G16:G16)</f>
        <v>816.00000000000011</v>
      </c>
      <c r="H18" s="35"/>
      <c r="I18" s="36">
        <f>SUM(I16:I16)</f>
        <v>5616</v>
      </c>
      <c r="J18" s="37"/>
    </row>
    <row r="19" spans="1:10" ht="15.75" thickTop="1" x14ac:dyDescent="0.25">
      <c r="A19" s="33"/>
      <c r="B19" s="34" t="s">
        <v>339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3E00-000000000000}"/>
  </hyperlinks>
  <pageMargins left="0.2" right="0.1" top="0.25" bottom="0.25" header="0.3" footer="0.3"/>
  <pageSetup paperSize="9" orientation="portrait" r:id="rId2"/>
  <drawing r:id="rId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J25"/>
  <sheetViews>
    <sheetView topLeftCell="A2" workbookViewId="0">
      <selection activeCell="B21" sqref="B21:J2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335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334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327</v>
      </c>
      <c r="C16" s="24" t="s">
        <v>23</v>
      </c>
      <c r="D16" s="25">
        <v>1</v>
      </c>
      <c r="E16" s="26">
        <v>1700</v>
      </c>
      <c r="F16" s="27">
        <f>D16*E16</f>
        <v>1700</v>
      </c>
      <c r="G16" s="27">
        <f>F16*0.17</f>
        <v>289</v>
      </c>
      <c r="H16" s="39">
        <f>E16*1.17</f>
        <v>1988.9999999999998</v>
      </c>
      <c r="I16" s="27">
        <f>H16*D16</f>
        <v>1988.9999999999998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1</v>
      </c>
      <c r="E18" s="35"/>
      <c r="F18" s="36">
        <f>SUM(F16:F16)</f>
        <v>1700</v>
      </c>
      <c r="G18" s="36">
        <f>SUM(G16:G16)</f>
        <v>289</v>
      </c>
      <c r="H18" s="35"/>
      <c r="I18" s="36">
        <f>SUM(I16:I16)</f>
        <v>1988.9999999999998</v>
      </c>
      <c r="J18" s="37"/>
    </row>
    <row r="19" spans="1:10" ht="15.75" thickTop="1" x14ac:dyDescent="0.25">
      <c r="A19" s="33"/>
      <c r="B19" s="34" t="s">
        <v>328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3F00-000000000000}"/>
  </hyperlinks>
  <pageMargins left="0.2" right="0.1" top="0.25" bottom="0.25" header="0.3" footer="0.3"/>
  <pageSetup paperSize="9" orientation="portrait" r:id="rId2"/>
  <drawing r:id="rId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J25"/>
  <sheetViews>
    <sheetView workbookViewId="0">
      <selection activeCell="C10" sqref="C10:C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9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330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329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331</v>
      </c>
      <c r="J9" s="186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332</v>
      </c>
      <c r="C16" s="24" t="s">
        <v>23</v>
      </c>
      <c r="D16" s="25">
        <v>2000</v>
      </c>
      <c r="E16" s="27">
        <v>6</v>
      </c>
      <c r="F16" s="27">
        <f t="shared" ref="F16" si="0">D16*E16</f>
        <v>12000</v>
      </c>
      <c r="G16" s="27">
        <f>F16*0</f>
        <v>0</v>
      </c>
      <c r="H16" s="39">
        <f>E16*1</f>
        <v>6</v>
      </c>
      <c r="I16" s="27">
        <f t="shared" ref="I16" si="1">H16*D16</f>
        <v>12000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2000</v>
      </c>
      <c r="E18" s="35"/>
      <c r="F18" s="36">
        <f>SUM(F16:F16)</f>
        <v>12000</v>
      </c>
      <c r="G18" s="36">
        <f>SUM(G16:G16)</f>
        <v>0</v>
      </c>
      <c r="H18" s="35"/>
      <c r="I18" s="36">
        <f>SUM(I16:I16)</f>
        <v>12000</v>
      </c>
      <c r="J18" s="37"/>
    </row>
    <row r="19" spans="1:10" ht="15.75" thickTop="1" x14ac:dyDescent="0.25">
      <c r="A19" s="33"/>
      <c r="B19" s="34" t="s">
        <v>333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4000-000000000000}"/>
  </hyperlinks>
  <pageMargins left="0.2" right="0.1" top="0.25" bottom="0.25" header="0.3" footer="0.3"/>
  <pageSetup paperSize="9" orientation="portrait" r:id="rId2"/>
  <drawing r:id="rId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J25"/>
  <sheetViews>
    <sheetView topLeftCell="A7" workbookViewId="0">
      <selection activeCell="C14" sqref="C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326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325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327</v>
      </c>
      <c r="C16" s="24" t="s">
        <v>23</v>
      </c>
      <c r="D16" s="25">
        <v>1</v>
      </c>
      <c r="E16" s="26">
        <v>1700</v>
      </c>
      <c r="F16" s="27">
        <f>D16*E16</f>
        <v>1700</v>
      </c>
      <c r="G16" s="27">
        <f>F16*0.17</f>
        <v>289</v>
      </c>
      <c r="H16" s="39">
        <f>E16*1.17</f>
        <v>1988.9999999999998</v>
      </c>
      <c r="I16" s="27">
        <f>H16*D16</f>
        <v>1988.9999999999998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1</v>
      </c>
      <c r="E18" s="35"/>
      <c r="F18" s="36">
        <f>SUM(F16:F16)</f>
        <v>1700</v>
      </c>
      <c r="G18" s="36">
        <f>SUM(G16:G16)</f>
        <v>289</v>
      </c>
      <c r="H18" s="35"/>
      <c r="I18" s="36">
        <f>SUM(I16:I16)</f>
        <v>1988.9999999999998</v>
      </c>
      <c r="J18" s="37"/>
    </row>
    <row r="19" spans="1:10" ht="15.75" thickTop="1" x14ac:dyDescent="0.25">
      <c r="A19" s="33"/>
      <c r="B19" s="34" t="s">
        <v>328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4100-000000000000}"/>
  </hyperlinks>
  <pageMargins left="0.2" right="0.1" top="0.25" bottom="0.25" header="0.3" footer="0.3"/>
  <pageSetup paperSize="9" orientation="portrait" r:id="rId2"/>
  <drawing r:id="rId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J25"/>
  <sheetViews>
    <sheetView topLeftCell="A5" workbookViewId="0">
      <selection activeCell="C14" sqref="C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323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324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108</v>
      </c>
      <c r="C16" s="24" t="s">
        <v>56</v>
      </c>
      <c r="D16" s="25">
        <v>20</v>
      </c>
      <c r="E16" s="26">
        <f>380/117*100</f>
        <v>324.78632478632477</v>
      </c>
      <c r="F16" s="27">
        <f>D16*E16</f>
        <v>6495.7264957264952</v>
      </c>
      <c r="G16" s="27">
        <f>F16*0.17</f>
        <v>1104.2735042735042</v>
      </c>
      <c r="H16" s="39">
        <f>E16*1.17</f>
        <v>379.99999999999994</v>
      </c>
      <c r="I16" s="27">
        <f>H16*D16</f>
        <v>7599.9999999999991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20</v>
      </c>
      <c r="E18" s="35"/>
      <c r="F18" s="36">
        <f>SUM(F16:F16)</f>
        <v>6495.7264957264952</v>
      </c>
      <c r="G18" s="36">
        <f>SUM(G16:G16)</f>
        <v>1104.2735042735042</v>
      </c>
      <c r="H18" s="35"/>
      <c r="I18" s="36">
        <f>SUM(I16:I16)</f>
        <v>7599.9999999999991</v>
      </c>
      <c r="J18" s="37"/>
    </row>
    <row r="19" spans="1:10" ht="15.75" thickTop="1" x14ac:dyDescent="0.25">
      <c r="A19" s="33"/>
      <c r="B19" s="34" t="s">
        <v>109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4200-000000000000}"/>
  </hyperlinks>
  <pageMargins left="0.2" right="0.1" top="0.25" bottom="0.25" header="0.3" footer="0.3"/>
  <pageSetup paperSize="9"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4C5FE-4E70-421C-91FE-522A837472F0}">
  <dimension ref="A1:R26"/>
  <sheetViews>
    <sheetView workbookViewId="0">
      <selection activeCell="C14" sqref="C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2241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1526</v>
      </c>
      <c r="C16" s="53" t="s">
        <v>23</v>
      </c>
      <c r="D16" s="79">
        <v>45</v>
      </c>
      <c r="E16" s="56">
        <v>50</v>
      </c>
      <c r="F16" s="56">
        <f>D16*E16</f>
        <v>2250</v>
      </c>
      <c r="G16" s="149">
        <f>F16*0.17</f>
        <v>382.5</v>
      </c>
      <c r="H16" s="85">
        <f>E16*1.17</f>
        <v>58.5</v>
      </c>
      <c r="I16" s="56">
        <f t="shared" ref="I16" si="0">H16*D16</f>
        <v>2632.5</v>
      </c>
      <c r="J16" s="83"/>
      <c r="N16" s="66"/>
    </row>
    <row r="17" spans="1:18" s="21" customFormat="1" ht="15.75" x14ac:dyDescent="0.25">
      <c r="A17" s="53"/>
      <c r="B17" s="78"/>
      <c r="C17" s="53"/>
      <c r="D17" s="79"/>
      <c r="E17" s="56"/>
      <c r="F17" s="56"/>
      <c r="G17" s="149"/>
      <c r="H17" s="85"/>
      <c r="I17" s="56"/>
      <c r="J17" s="83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45</v>
      </c>
      <c r="E18" s="35"/>
      <c r="F18" s="62">
        <f>SUM(F16:F17)</f>
        <v>2250</v>
      </c>
      <c r="G18" s="62">
        <f>SUM(G16:G17)</f>
        <v>382.5</v>
      </c>
      <c r="H18" s="35"/>
      <c r="I18" s="62">
        <f>SUM(I16:I17)</f>
        <v>2632.5</v>
      </c>
      <c r="J18" s="37"/>
    </row>
    <row r="19" spans="1:18" ht="15.75" thickTop="1" x14ac:dyDescent="0.25">
      <c r="A19" s="33"/>
      <c r="B19" s="34" t="s">
        <v>2251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994281C2-F502-4CDF-8981-948B958E8DE6}"/>
  </hyperlinks>
  <pageMargins left="0.2" right="0.1" top="0.25" bottom="0.25" header="0.3" footer="0.3"/>
  <pageSetup paperSize="9" orientation="portrait" r:id="rId2"/>
  <drawing r:id="rId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J25"/>
  <sheetViews>
    <sheetView workbookViewId="0">
      <selection activeCell="C14" sqref="C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319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320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321</v>
      </c>
      <c r="J9" s="188"/>
    </row>
    <row r="10" spans="1:10" x14ac:dyDescent="0.25">
      <c r="B10" t="s">
        <v>9</v>
      </c>
      <c r="C10" s="10" t="s">
        <v>134</v>
      </c>
      <c r="D10" s="10"/>
      <c r="E10" s="10"/>
      <c r="F10" s="10"/>
    </row>
    <row r="11" spans="1:10" x14ac:dyDescent="0.25">
      <c r="B11" t="s">
        <v>11</v>
      </c>
      <c r="C11" s="10" t="s">
        <v>135</v>
      </c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 t="s">
        <v>137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39" thickTop="1" x14ac:dyDescent="0.25">
      <c r="A16" s="22">
        <v>1</v>
      </c>
      <c r="B16" s="23" t="s">
        <v>322</v>
      </c>
      <c r="C16" s="24" t="s">
        <v>23</v>
      </c>
      <c r="D16" s="25">
        <v>1</v>
      </c>
      <c r="E16" s="40">
        <f>1755/117*100</f>
        <v>1500</v>
      </c>
      <c r="F16" s="27">
        <f t="shared" ref="F16" si="0">D16*E16</f>
        <v>1500</v>
      </c>
      <c r="G16" s="27">
        <f>F16*0.17</f>
        <v>255.00000000000003</v>
      </c>
      <c r="H16" s="39">
        <f>E16*1.17</f>
        <v>1755</v>
      </c>
      <c r="I16" s="27">
        <f t="shared" ref="I16" si="1">H16*D16</f>
        <v>1755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1</v>
      </c>
      <c r="E18" s="35"/>
      <c r="F18" s="36">
        <f>SUM(F16:F16)</f>
        <v>1500</v>
      </c>
      <c r="G18" s="36">
        <f>SUM(G16:G16)</f>
        <v>255.00000000000003</v>
      </c>
      <c r="H18" s="35"/>
      <c r="I18" s="36">
        <f>SUM(I16:I16)</f>
        <v>1755</v>
      </c>
      <c r="J18" s="37"/>
    </row>
    <row r="19" spans="1:10" ht="15.75" thickTop="1" x14ac:dyDescent="0.25">
      <c r="A19" s="33"/>
      <c r="B19" s="34" t="s">
        <v>226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4300-000000000000}"/>
  </hyperlinks>
  <pageMargins left="0.2" right="0.1" top="0.25" bottom="0.25" header="0.3" footer="0.3"/>
  <pageSetup paperSize="9" orientation="portrait" r:id="rId2"/>
  <drawing r:id="rId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J30"/>
  <sheetViews>
    <sheetView workbookViewId="0">
      <selection activeCell="A19" sqref="A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9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310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309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311</v>
      </c>
      <c r="J9" s="186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312</v>
      </c>
      <c r="C16" s="24" t="s">
        <v>23</v>
      </c>
      <c r="D16" s="25">
        <v>12</v>
      </c>
      <c r="E16" s="27">
        <v>512.79999999999995</v>
      </c>
      <c r="F16" s="27">
        <f t="shared" ref="F16:F21" si="0">D16*E16</f>
        <v>6153.5999999999995</v>
      </c>
      <c r="G16" s="27">
        <f t="shared" ref="G16:G21" si="1">F16*0.17</f>
        <v>1046.1120000000001</v>
      </c>
      <c r="H16" s="39">
        <f t="shared" ref="H16:H21" si="2">E16*1.17</f>
        <v>599.97599999999989</v>
      </c>
      <c r="I16" s="27">
        <f t="shared" ref="I16:I21" si="3">H16*D16</f>
        <v>7199.7119999999986</v>
      </c>
      <c r="J16" s="28"/>
    </row>
    <row r="17" spans="1:10" s="21" customFormat="1" x14ac:dyDescent="0.25">
      <c r="A17" s="22">
        <f>A16+1</f>
        <v>2</v>
      </c>
      <c r="B17" s="23" t="s">
        <v>313</v>
      </c>
      <c r="C17" s="24" t="s">
        <v>165</v>
      </c>
      <c r="D17" s="25">
        <v>20</v>
      </c>
      <c r="E17" s="39">
        <v>300</v>
      </c>
      <c r="F17" s="27">
        <f t="shared" si="0"/>
        <v>6000</v>
      </c>
      <c r="G17" s="27">
        <f>F17*0</f>
        <v>0</v>
      </c>
      <c r="H17" s="39">
        <f>E17*1</f>
        <v>300</v>
      </c>
      <c r="I17" s="27">
        <f t="shared" si="3"/>
        <v>6000</v>
      </c>
      <c r="J17" s="28"/>
    </row>
    <row r="18" spans="1:10" s="21" customFormat="1" ht="25.5" x14ac:dyDescent="0.25">
      <c r="A18" s="22">
        <f t="shared" ref="A18:A21" si="4">A17+1</f>
        <v>3</v>
      </c>
      <c r="B18" s="23" t="s">
        <v>314</v>
      </c>
      <c r="C18" s="24" t="s">
        <v>76</v>
      </c>
      <c r="D18" s="25">
        <v>10</v>
      </c>
      <c r="E18" s="39">
        <v>56</v>
      </c>
      <c r="F18" s="27">
        <f t="shared" si="0"/>
        <v>560</v>
      </c>
      <c r="G18" s="27">
        <f t="shared" si="1"/>
        <v>95.2</v>
      </c>
      <c r="H18" s="39">
        <f t="shared" si="2"/>
        <v>65.52</v>
      </c>
      <c r="I18" s="27">
        <f t="shared" si="3"/>
        <v>655.19999999999993</v>
      </c>
      <c r="J18" s="28"/>
    </row>
    <row r="19" spans="1:10" s="21" customFormat="1" ht="25.5" x14ac:dyDescent="0.25">
      <c r="A19" s="22">
        <f t="shared" si="4"/>
        <v>4</v>
      </c>
      <c r="B19" s="23" t="s">
        <v>315</v>
      </c>
      <c r="C19" s="24" t="s">
        <v>76</v>
      </c>
      <c r="D19" s="25">
        <v>10</v>
      </c>
      <c r="E19" s="39">
        <v>119.7</v>
      </c>
      <c r="F19" s="27">
        <f t="shared" si="0"/>
        <v>1197</v>
      </c>
      <c r="G19" s="27">
        <f t="shared" si="1"/>
        <v>203.49</v>
      </c>
      <c r="H19" s="39">
        <f t="shared" si="2"/>
        <v>140.04900000000001</v>
      </c>
      <c r="I19" s="27">
        <f t="shared" si="3"/>
        <v>1400.49</v>
      </c>
      <c r="J19" s="28"/>
    </row>
    <row r="20" spans="1:10" s="21" customFormat="1" x14ac:dyDescent="0.25">
      <c r="A20" s="22">
        <f t="shared" si="4"/>
        <v>5</v>
      </c>
      <c r="B20" s="23" t="s">
        <v>316</v>
      </c>
      <c r="C20" s="24" t="s">
        <v>23</v>
      </c>
      <c r="D20" s="25">
        <v>100</v>
      </c>
      <c r="E20" s="39">
        <v>188</v>
      </c>
      <c r="F20" s="27">
        <f t="shared" si="0"/>
        <v>18800</v>
      </c>
      <c r="G20" s="27">
        <f t="shared" si="1"/>
        <v>3196.0000000000005</v>
      </c>
      <c r="H20" s="39">
        <f t="shared" si="2"/>
        <v>219.95999999999998</v>
      </c>
      <c r="I20" s="27">
        <f t="shared" si="3"/>
        <v>21995.999999999996</v>
      </c>
      <c r="J20" s="28"/>
    </row>
    <row r="21" spans="1:10" s="21" customFormat="1" ht="25.5" x14ac:dyDescent="0.25">
      <c r="A21" s="22">
        <f t="shared" si="4"/>
        <v>6</v>
      </c>
      <c r="B21" s="23" t="s">
        <v>317</v>
      </c>
      <c r="C21" s="24" t="s">
        <v>23</v>
      </c>
      <c r="D21" s="25">
        <v>5</v>
      </c>
      <c r="E21" s="39">
        <v>222</v>
      </c>
      <c r="F21" s="27">
        <f t="shared" si="0"/>
        <v>1110</v>
      </c>
      <c r="G21" s="27">
        <f t="shared" si="1"/>
        <v>188.70000000000002</v>
      </c>
      <c r="H21" s="39">
        <f t="shared" si="2"/>
        <v>259.74</v>
      </c>
      <c r="I21" s="27">
        <f t="shared" si="3"/>
        <v>1298.7</v>
      </c>
      <c r="J21" s="28"/>
    </row>
    <row r="22" spans="1:10" s="21" customFormat="1" x14ac:dyDescent="0.25">
      <c r="A22" s="29"/>
      <c r="B22" s="30"/>
      <c r="C22" s="31"/>
      <c r="D22" s="25"/>
      <c r="E22" s="26"/>
      <c r="F22" s="32"/>
      <c r="G22" s="32"/>
      <c r="H22" s="26"/>
      <c r="I22" s="32"/>
      <c r="J22" s="28"/>
    </row>
    <row r="23" spans="1:10" ht="15.75" thickBot="1" x14ac:dyDescent="0.3">
      <c r="A23" s="33"/>
      <c r="B23" s="34" t="s">
        <v>24</v>
      </c>
      <c r="C23" s="35"/>
      <c r="D23" s="36">
        <f>SUM(D16:D21)</f>
        <v>157</v>
      </c>
      <c r="E23" s="35"/>
      <c r="F23" s="36">
        <f>SUM(F16:F21)</f>
        <v>33820.6</v>
      </c>
      <c r="G23" s="36">
        <f>SUM(G16:G21)</f>
        <v>4729.5020000000004</v>
      </c>
      <c r="H23" s="35"/>
      <c r="I23" s="36">
        <f>SUM(I16:I21)</f>
        <v>38550.101999999992</v>
      </c>
      <c r="J23" s="37"/>
    </row>
    <row r="24" spans="1:10" ht="15.75" thickTop="1" x14ac:dyDescent="0.25">
      <c r="A24" s="33"/>
      <c r="B24" s="34" t="s">
        <v>318</v>
      </c>
      <c r="C24" s="35"/>
      <c r="D24" s="35"/>
      <c r="E24" s="35"/>
      <c r="F24" s="35"/>
      <c r="G24" s="35"/>
      <c r="H24" s="35"/>
      <c r="I24" s="35"/>
      <c r="J24" s="37"/>
    </row>
    <row r="25" spans="1:10" x14ac:dyDescent="0.25">
      <c r="A25" s="33"/>
      <c r="B25" s="38" t="s">
        <v>25</v>
      </c>
      <c r="C25" s="35"/>
      <c r="D25" s="35"/>
      <c r="E25" s="35"/>
      <c r="F25" s="35"/>
      <c r="G25" s="35"/>
      <c r="H25" s="35"/>
      <c r="I25" s="35"/>
      <c r="J25" s="37"/>
    </row>
    <row r="26" spans="1:10" ht="30" customHeight="1" x14ac:dyDescent="0.25">
      <c r="B26" s="183" t="s">
        <v>26</v>
      </c>
      <c r="C26" s="183"/>
      <c r="D26" s="183"/>
      <c r="E26" s="183"/>
      <c r="F26" s="183"/>
      <c r="G26" s="183"/>
      <c r="H26" s="183"/>
      <c r="I26" s="183"/>
      <c r="J26" s="183"/>
    </row>
    <row r="27" spans="1:10" x14ac:dyDescent="0.25">
      <c r="B27" t="s">
        <v>27</v>
      </c>
    </row>
    <row r="29" spans="1:10" x14ac:dyDescent="0.25">
      <c r="B29" t="s">
        <v>28</v>
      </c>
      <c r="H29" t="s">
        <v>28</v>
      </c>
    </row>
    <row r="30" spans="1:10" x14ac:dyDescent="0.25">
      <c r="B30" t="s">
        <v>29</v>
      </c>
      <c r="H30" t="s">
        <v>30</v>
      </c>
    </row>
  </sheetData>
  <mergeCells count="5">
    <mergeCell ref="A6:J6"/>
    <mergeCell ref="I7:J7"/>
    <mergeCell ref="I8:J8"/>
    <mergeCell ref="I9:J9"/>
    <mergeCell ref="B26:J26"/>
  </mergeCells>
  <hyperlinks>
    <hyperlink ref="H5" r:id="rId1" xr:uid="{00000000-0004-0000-4400-000000000000}"/>
  </hyperlinks>
  <pageMargins left="0.2" right="0.1" top="0.25" bottom="0.25" header="0.3" footer="0.3"/>
  <pageSetup paperSize="9" orientation="portrait" r:id="rId2"/>
  <drawing r:id="rId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J26"/>
  <sheetViews>
    <sheetView workbookViewId="0">
      <selection activeCell="B4" sqref="B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307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308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108</v>
      </c>
      <c r="C16" s="24" t="s">
        <v>56</v>
      </c>
      <c r="D16" s="25">
        <v>20</v>
      </c>
      <c r="E16" s="26">
        <f>380/117*100</f>
        <v>324.78632478632477</v>
      </c>
      <c r="F16" s="27">
        <f>D16*E16</f>
        <v>6495.7264957264952</v>
      </c>
      <c r="G16" s="27">
        <f>F16*0.17</f>
        <v>1104.2735042735042</v>
      </c>
      <c r="H16" s="39">
        <f>E16*1.17</f>
        <v>379.99999999999994</v>
      </c>
      <c r="I16" s="27">
        <f>H16*D16</f>
        <v>7599.9999999999991</v>
      </c>
      <c r="J16" s="28"/>
    </row>
    <row r="17" spans="1:10" s="21" customFormat="1" ht="25.5" x14ac:dyDescent="0.25">
      <c r="A17" s="22">
        <v>1</v>
      </c>
      <c r="B17" s="23" t="s">
        <v>216</v>
      </c>
      <c r="C17" s="24" t="s">
        <v>56</v>
      </c>
      <c r="D17" s="25">
        <v>2</v>
      </c>
      <c r="E17" s="26">
        <f>400/117*100</f>
        <v>341.88034188034186</v>
      </c>
      <c r="F17" s="27">
        <f>D17*E17</f>
        <v>683.76068376068372</v>
      </c>
      <c r="G17" s="27">
        <f>F17*0.17</f>
        <v>116.23931623931624</v>
      </c>
      <c r="H17" s="39">
        <f>E17*1.17</f>
        <v>399.99999999999994</v>
      </c>
      <c r="I17" s="27">
        <f>H17*D17</f>
        <v>799.99999999999989</v>
      </c>
      <c r="J17" s="28"/>
    </row>
    <row r="18" spans="1:10" s="21" customFormat="1" x14ac:dyDescent="0.25">
      <c r="A18" s="29"/>
      <c r="B18" s="30"/>
      <c r="C18" s="31"/>
      <c r="D18" s="25"/>
      <c r="E18" s="26"/>
      <c r="F18" s="32"/>
      <c r="G18" s="32"/>
      <c r="H18" s="26"/>
      <c r="I18" s="32"/>
      <c r="J18" s="28"/>
    </row>
    <row r="19" spans="1:10" ht="15.75" thickBot="1" x14ac:dyDescent="0.3">
      <c r="A19" s="33"/>
      <c r="B19" s="34" t="s">
        <v>24</v>
      </c>
      <c r="C19" s="35"/>
      <c r="D19" s="36">
        <f>SUM(D16:D17)</f>
        <v>22</v>
      </c>
      <c r="E19" s="35"/>
      <c r="F19" s="36">
        <f>SUM(F16:F17)</f>
        <v>7179.4871794871788</v>
      </c>
      <c r="G19" s="36">
        <f>SUM(G16:G17)</f>
        <v>1220.5128205128203</v>
      </c>
      <c r="H19" s="35"/>
      <c r="I19" s="36">
        <f>SUM(I16:I17)</f>
        <v>8399.9999999999982</v>
      </c>
      <c r="J19" s="37"/>
    </row>
    <row r="20" spans="1:10" ht="15.75" thickTop="1" x14ac:dyDescent="0.25">
      <c r="A20" s="33"/>
      <c r="B20" s="34" t="s">
        <v>235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27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mergeCells count="5">
    <mergeCell ref="A6:J6"/>
    <mergeCell ref="I7:J7"/>
    <mergeCell ref="I8:J8"/>
    <mergeCell ref="I9:J9"/>
    <mergeCell ref="B22:J22"/>
  </mergeCells>
  <hyperlinks>
    <hyperlink ref="H5" r:id="rId1" xr:uid="{00000000-0004-0000-4500-000000000000}"/>
  </hyperlinks>
  <pageMargins left="0.2" right="0.1" top="0.25" bottom="0.25" header="0.3" footer="0.3"/>
  <pageSetup paperSize="9" orientation="portrait" r:id="rId2"/>
  <drawing r:id="rId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25"/>
  <sheetViews>
    <sheetView workbookViewId="0">
      <selection activeCell="B20" sqref="B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303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302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285</v>
      </c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41</v>
      </c>
      <c r="C16" s="24" t="s">
        <v>166</v>
      </c>
      <c r="D16" s="25">
        <v>50</v>
      </c>
      <c r="E16" s="26">
        <v>26</v>
      </c>
      <c r="F16" s="27">
        <f>D16*E16</f>
        <v>1300</v>
      </c>
      <c r="G16" s="27">
        <f>F16*0.17</f>
        <v>221.00000000000003</v>
      </c>
      <c r="H16" s="26">
        <f>E16*1.17</f>
        <v>30.419999999999998</v>
      </c>
      <c r="I16" s="27">
        <f>H16*D16</f>
        <v>1521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50</v>
      </c>
      <c r="E18" s="35"/>
      <c r="F18" s="36">
        <f>SUM(F16:F16)</f>
        <v>1300</v>
      </c>
      <c r="G18" s="36">
        <f>SUM(G16:G16)</f>
        <v>221.00000000000003</v>
      </c>
      <c r="H18" s="35"/>
      <c r="I18" s="36">
        <f>SUM(I16:I16)</f>
        <v>1521</v>
      </c>
      <c r="J18" s="37"/>
    </row>
    <row r="19" spans="1:10" ht="15.75" thickTop="1" x14ac:dyDescent="0.25">
      <c r="A19" s="33"/>
      <c r="B19" s="34" t="s">
        <v>305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4600-000000000000}"/>
  </hyperlinks>
  <pageMargins left="0.2" right="0.1" top="0.25" bottom="0.25" header="0.3" footer="0.3"/>
  <pageSetup paperSize="9" orientation="portrait" r:id="rId2"/>
  <drawing r:id="rId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J25"/>
  <sheetViews>
    <sheetView workbookViewId="0">
      <selection activeCell="J12" sqref="J1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303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302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304</v>
      </c>
      <c r="C16" s="24" t="s">
        <v>23</v>
      </c>
      <c r="D16" s="25">
        <v>100</v>
      </c>
      <c r="E16" s="26">
        <v>7</v>
      </c>
      <c r="F16" s="27">
        <f t="shared" ref="F16" si="0">D16*E16</f>
        <v>700</v>
      </c>
      <c r="G16" s="27">
        <f>F16*0.17</f>
        <v>119.00000000000001</v>
      </c>
      <c r="H16" s="26">
        <f>E16*1.17</f>
        <v>8.19</v>
      </c>
      <c r="I16" s="27">
        <f t="shared" ref="I16" si="1">H16*D16</f>
        <v>819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100</v>
      </c>
      <c r="E18" s="35"/>
      <c r="F18" s="36">
        <f>SUM(F16:F16)</f>
        <v>700</v>
      </c>
      <c r="G18" s="36">
        <f>SUM(G16:G16)</f>
        <v>119.00000000000001</v>
      </c>
      <c r="H18" s="35"/>
      <c r="I18" s="36">
        <f>SUM(I16:I16)</f>
        <v>819</v>
      </c>
      <c r="J18" s="37"/>
    </row>
    <row r="19" spans="1:10" ht="15.75" thickTop="1" x14ac:dyDescent="0.25">
      <c r="A19" s="33"/>
      <c r="B19" s="34" t="s">
        <v>306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4700-000000000000}"/>
  </hyperlinks>
  <pageMargins left="0.2" right="0.1" top="0.25" bottom="0.25" header="0.3" footer="0.3"/>
  <pageSetup paperSize="9" orientation="portrait" r:id="rId2"/>
  <drawing r:id="rId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J38"/>
  <sheetViews>
    <sheetView workbookViewId="0">
      <selection activeCell="B13" sqref="B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275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284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285</v>
      </c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286</v>
      </c>
      <c r="C16" s="24" t="s">
        <v>165</v>
      </c>
      <c r="D16" s="25">
        <v>30</v>
      </c>
      <c r="E16" s="26">
        <v>75</v>
      </c>
      <c r="F16" s="27">
        <f t="shared" ref="F16:F19" si="0">D16*E16</f>
        <v>2250</v>
      </c>
      <c r="G16" s="27">
        <f>F16*0</f>
        <v>0</v>
      </c>
      <c r="H16" s="39">
        <f>E16*1</f>
        <v>75</v>
      </c>
      <c r="I16" s="27">
        <f t="shared" ref="I16:I29" si="1">H16*D16</f>
        <v>2250</v>
      </c>
      <c r="J16" s="28"/>
    </row>
    <row r="17" spans="1:10" s="21" customFormat="1" x14ac:dyDescent="0.25">
      <c r="A17" s="22">
        <v>2</v>
      </c>
      <c r="B17" s="23" t="s">
        <v>287</v>
      </c>
      <c r="C17" s="24" t="s">
        <v>165</v>
      </c>
      <c r="D17" s="25">
        <v>12</v>
      </c>
      <c r="E17" s="26">
        <v>45</v>
      </c>
      <c r="F17" s="27">
        <f t="shared" si="0"/>
        <v>540</v>
      </c>
      <c r="G17" s="27">
        <f>F17*0</f>
        <v>0</v>
      </c>
      <c r="H17" s="39">
        <f>E17*1</f>
        <v>45</v>
      </c>
      <c r="I17" s="27">
        <f t="shared" si="1"/>
        <v>540</v>
      </c>
      <c r="J17" s="28"/>
    </row>
    <row r="18" spans="1:10" s="21" customFormat="1" x14ac:dyDescent="0.25">
      <c r="A18" s="22">
        <v>3</v>
      </c>
      <c r="B18" s="23" t="s">
        <v>288</v>
      </c>
      <c r="C18" s="24" t="s">
        <v>165</v>
      </c>
      <c r="D18" s="25">
        <v>12</v>
      </c>
      <c r="E18" s="26">
        <v>55</v>
      </c>
      <c r="F18" s="27">
        <f t="shared" si="0"/>
        <v>660</v>
      </c>
      <c r="G18" s="27">
        <f>F18*0</f>
        <v>0</v>
      </c>
      <c r="H18" s="39">
        <f>E18*1</f>
        <v>55</v>
      </c>
      <c r="I18" s="27">
        <f t="shared" si="1"/>
        <v>660</v>
      </c>
      <c r="J18" s="28"/>
    </row>
    <row r="19" spans="1:10" s="21" customFormat="1" x14ac:dyDescent="0.25">
      <c r="A19" s="22">
        <v>4</v>
      </c>
      <c r="B19" s="23" t="s">
        <v>289</v>
      </c>
      <c r="C19" s="24" t="s">
        <v>165</v>
      </c>
      <c r="D19" s="25">
        <v>1</v>
      </c>
      <c r="E19" s="26">
        <v>480</v>
      </c>
      <c r="F19" s="27">
        <f t="shared" si="0"/>
        <v>480</v>
      </c>
      <c r="G19" s="27">
        <f>F19*0</f>
        <v>0</v>
      </c>
      <c r="H19" s="39">
        <f>E19*1</f>
        <v>480</v>
      </c>
      <c r="I19" s="27">
        <f t="shared" si="1"/>
        <v>480</v>
      </c>
      <c r="J19" s="28"/>
    </row>
    <row r="20" spans="1:10" s="21" customFormat="1" x14ac:dyDescent="0.25">
      <c r="A20" s="22">
        <v>5</v>
      </c>
      <c r="B20" s="23" t="s">
        <v>290</v>
      </c>
      <c r="C20" s="24" t="s">
        <v>23</v>
      </c>
      <c r="D20" s="25">
        <v>72</v>
      </c>
      <c r="E20" s="26">
        <v>225</v>
      </c>
      <c r="F20" s="27">
        <f t="shared" ref="F20:F29" si="2">D20*E20</f>
        <v>16200</v>
      </c>
      <c r="G20" s="27">
        <f t="shared" ref="G20:G29" si="3">F20*0.17</f>
        <v>2754</v>
      </c>
      <c r="H20" s="39">
        <f t="shared" ref="H20:H29" si="4">E20*1.17</f>
        <v>263.25</v>
      </c>
      <c r="I20" s="27">
        <f t="shared" si="1"/>
        <v>18954</v>
      </c>
      <c r="J20" s="28"/>
    </row>
    <row r="21" spans="1:10" s="21" customFormat="1" ht="25.5" x14ac:dyDescent="0.25">
      <c r="A21" s="22">
        <v>6</v>
      </c>
      <c r="B21" s="23" t="s">
        <v>291</v>
      </c>
      <c r="C21" s="24" t="s">
        <v>23</v>
      </c>
      <c r="D21" s="25">
        <v>36</v>
      </c>
      <c r="E21" s="26">
        <v>37</v>
      </c>
      <c r="F21" s="27">
        <f t="shared" ref="F21:F24" si="5">D21*E21</f>
        <v>1332</v>
      </c>
      <c r="G21" s="27">
        <f t="shared" si="3"/>
        <v>226.44000000000003</v>
      </c>
      <c r="H21" s="39">
        <f t="shared" si="4"/>
        <v>43.29</v>
      </c>
      <c r="I21" s="27">
        <f t="shared" si="1"/>
        <v>1558.44</v>
      </c>
      <c r="J21" s="28"/>
    </row>
    <row r="22" spans="1:10" s="21" customFormat="1" x14ac:dyDescent="0.25">
      <c r="A22" s="22">
        <v>7</v>
      </c>
      <c r="B22" s="23" t="s">
        <v>292</v>
      </c>
      <c r="C22" s="24" t="s">
        <v>299</v>
      </c>
      <c r="D22" s="25">
        <v>400</v>
      </c>
      <c r="E22" s="26">
        <v>5.2</v>
      </c>
      <c r="F22" s="27">
        <f t="shared" si="5"/>
        <v>2080</v>
      </c>
      <c r="G22" s="27">
        <f t="shared" si="3"/>
        <v>353.6</v>
      </c>
      <c r="H22" s="39">
        <f t="shared" si="4"/>
        <v>6.0839999999999996</v>
      </c>
      <c r="I22" s="27">
        <f t="shared" si="1"/>
        <v>2433.6</v>
      </c>
      <c r="J22" s="28"/>
    </row>
    <row r="23" spans="1:10" s="21" customFormat="1" x14ac:dyDescent="0.25">
      <c r="A23" s="22">
        <v>8</v>
      </c>
      <c r="B23" s="23" t="s">
        <v>293</v>
      </c>
      <c r="C23" s="24" t="s">
        <v>23</v>
      </c>
      <c r="D23" s="25">
        <v>36</v>
      </c>
      <c r="E23" s="26">
        <v>28</v>
      </c>
      <c r="F23" s="27">
        <f t="shared" si="5"/>
        <v>1008</v>
      </c>
      <c r="G23" s="27">
        <f t="shared" si="3"/>
        <v>171.36</v>
      </c>
      <c r="H23" s="39">
        <f t="shared" si="4"/>
        <v>32.76</v>
      </c>
      <c r="I23" s="27">
        <f t="shared" si="1"/>
        <v>1179.3599999999999</v>
      </c>
      <c r="J23" s="28"/>
    </row>
    <row r="24" spans="1:10" s="21" customFormat="1" x14ac:dyDescent="0.25">
      <c r="A24" s="22">
        <v>9</v>
      </c>
      <c r="B24" s="23" t="s">
        <v>294</v>
      </c>
      <c r="C24" s="24" t="s">
        <v>76</v>
      </c>
      <c r="D24" s="25">
        <v>3</v>
      </c>
      <c r="E24" s="26">
        <v>225</v>
      </c>
      <c r="F24" s="27">
        <f t="shared" si="5"/>
        <v>675</v>
      </c>
      <c r="G24" s="27">
        <f t="shared" si="3"/>
        <v>114.75000000000001</v>
      </c>
      <c r="H24" s="39">
        <f t="shared" si="4"/>
        <v>263.25</v>
      </c>
      <c r="I24" s="27">
        <f t="shared" si="1"/>
        <v>789.75</v>
      </c>
      <c r="J24" s="28"/>
    </row>
    <row r="25" spans="1:10" s="21" customFormat="1" x14ac:dyDescent="0.25">
      <c r="A25" s="22">
        <v>10</v>
      </c>
      <c r="B25" s="23" t="s">
        <v>295</v>
      </c>
      <c r="C25" s="24" t="s">
        <v>300</v>
      </c>
      <c r="D25" s="25">
        <v>2</v>
      </c>
      <c r="E25" s="26">
        <v>3750</v>
      </c>
      <c r="F25" s="27">
        <f t="shared" si="2"/>
        <v>7500</v>
      </c>
      <c r="G25" s="27">
        <f t="shared" si="3"/>
        <v>1275</v>
      </c>
      <c r="H25" s="39">
        <f t="shared" si="4"/>
        <v>4387.5</v>
      </c>
      <c r="I25" s="27">
        <f t="shared" si="1"/>
        <v>8775</v>
      </c>
      <c r="J25" s="28"/>
    </row>
    <row r="26" spans="1:10" s="21" customFormat="1" x14ac:dyDescent="0.25">
      <c r="A26" s="22">
        <v>11</v>
      </c>
      <c r="B26" s="23" t="s">
        <v>67</v>
      </c>
      <c r="C26" s="24" t="s">
        <v>23</v>
      </c>
      <c r="D26" s="25">
        <v>36</v>
      </c>
      <c r="E26" s="26">
        <v>62</v>
      </c>
      <c r="F26" s="27">
        <f t="shared" ref="F26" si="6">D26*E26</f>
        <v>2232</v>
      </c>
      <c r="G26" s="27">
        <f t="shared" si="3"/>
        <v>379.44000000000005</v>
      </c>
      <c r="H26" s="39">
        <f t="shared" si="4"/>
        <v>72.539999999999992</v>
      </c>
      <c r="I26" s="27">
        <f t="shared" si="1"/>
        <v>2611.4399999999996</v>
      </c>
      <c r="J26" s="28"/>
    </row>
    <row r="27" spans="1:10" s="21" customFormat="1" x14ac:dyDescent="0.25">
      <c r="A27" s="22">
        <v>12</v>
      </c>
      <c r="B27" s="23" t="s">
        <v>296</v>
      </c>
      <c r="C27" s="24" t="s">
        <v>23</v>
      </c>
      <c r="D27" s="25">
        <v>48</v>
      </c>
      <c r="E27" s="26">
        <v>13</v>
      </c>
      <c r="F27" s="27">
        <f t="shared" ref="F27:F28" si="7">D27*E27</f>
        <v>624</v>
      </c>
      <c r="G27" s="27">
        <f t="shared" si="3"/>
        <v>106.08000000000001</v>
      </c>
      <c r="H27" s="39">
        <f t="shared" si="4"/>
        <v>15.209999999999999</v>
      </c>
      <c r="I27" s="27">
        <f t="shared" si="1"/>
        <v>730.07999999999993</v>
      </c>
      <c r="J27" s="28"/>
    </row>
    <row r="28" spans="1:10" s="21" customFormat="1" x14ac:dyDescent="0.25">
      <c r="A28" s="22">
        <v>13</v>
      </c>
      <c r="B28" s="23" t="s">
        <v>297</v>
      </c>
      <c r="C28" s="24" t="s">
        <v>23</v>
      </c>
      <c r="D28" s="25">
        <v>1</v>
      </c>
      <c r="E28" s="26">
        <v>225</v>
      </c>
      <c r="F28" s="27">
        <f t="shared" si="7"/>
        <v>225</v>
      </c>
      <c r="G28" s="27">
        <f t="shared" si="3"/>
        <v>38.25</v>
      </c>
      <c r="H28" s="39">
        <f t="shared" si="4"/>
        <v>263.25</v>
      </c>
      <c r="I28" s="27">
        <f t="shared" si="1"/>
        <v>263.25</v>
      </c>
      <c r="J28" s="28"/>
    </row>
    <row r="29" spans="1:10" s="21" customFormat="1" x14ac:dyDescent="0.25">
      <c r="A29" s="22">
        <v>14</v>
      </c>
      <c r="B29" s="23" t="s">
        <v>298</v>
      </c>
      <c r="C29" s="24" t="s">
        <v>165</v>
      </c>
      <c r="D29" s="25">
        <v>2</v>
      </c>
      <c r="E29" s="26">
        <v>725</v>
      </c>
      <c r="F29" s="27">
        <f t="shared" si="2"/>
        <v>1450</v>
      </c>
      <c r="G29" s="27">
        <f t="shared" si="3"/>
        <v>246.50000000000003</v>
      </c>
      <c r="H29" s="39">
        <f t="shared" si="4"/>
        <v>848.25</v>
      </c>
      <c r="I29" s="27">
        <f t="shared" si="1"/>
        <v>1696.5</v>
      </c>
      <c r="J29" s="28"/>
    </row>
    <row r="30" spans="1:10" s="21" customFormat="1" x14ac:dyDescent="0.25">
      <c r="A30" s="29"/>
      <c r="B30" s="30"/>
      <c r="C30" s="31"/>
      <c r="D30" s="25"/>
      <c r="E30" s="26"/>
      <c r="F30" s="32"/>
      <c r="G30" s="32"/>
      <c r="H30" s="26"/>
      <c r="I30" s="32"/>
      <c r="J30" s="28"/>
    </row>
    <row r="31" spans="1:10" ht="15.75" thickBot="1" x14ac:dyDescent="0.3">
      <c r="A31" s="33"/>
      <c r="B31" s="34" t="s">
        <v>24</v>
      </c>
      <c r="C31" s="35"/>
      <c r="D31" s="36">
        <f>SUM(D16:D29)</f>
        <v>691</v>
      </c>
      <c r="E31" s="35"/>
      <c r="F31" s="36">
        <f>SUM(F16:F29)</f>
        <v>37256</v>
      </c>
      <c r="G31" s="36">
        <f>SUM(G16:G29)</f>
        <v>5665.42</v>
      </c>
      <c r="H31" s="35"/>
      <c r="I31" s="36">
        <f>SUM(I16:I29)</f>
        <v>42921.42</v>
      </c>
      <c r="J31" s="37"/>
    </row>
    <row r="32" spans="1:10" ht="15.75" thickTop="1" x14ac:dyDescent="0.25">
      <c r="A32" s="33"/>
      <c r="B32" s="34" t="s">
        <v>301</v>
      </c>
      <c r="C32" s="35"/>
      <c r="D32" s="35"/>
      <c r="E32" s="35"/>
      <c r="F32" s="35"/>
      <c r="G32" s="35"/>
      <c r="H32" s="35"/>
      <c r="I32" s="35"/>
      <c r="J32" s="37"/>
    </row>
    <row r="33" spans="1:10" x14ac:dyDescent="0.25">
      <c r="A33" s="33"/>
      <c r="B33" s="38" t="s">
        <v>25</v>
      </c>
      <c r="C33" s="35"/>
      <c r="D33" s="35"/>
      <c r="E33" s="35"/>
      <c r="F33" s="35"/>
      <c r="G33" s="35"/>
      <c r="H33" s="35"/>
      <c r="I33" s="35"/>
      <c r="J33" s="37"/>
    </row>
    <row r="34" spans="1:10" ht="30" customHeight="1" x14ac:dyDescent="0.25">
      <c r="B34" s="183" t="s">
        <v>26</v>
      </c>
      <c r="C34" s="183"/>
      <c r="D34" s="183"/>
      <c r="E34" s="183"/>
      <c r="F34" s="183"/>
      <c r="G34" s="183"/>
      <c r="H34" s="183"/>
      <c r="I34" s="183"/>
      <c r="J34" s="183"/>
    </row>
    <row r="35" spans="1:10" x14ac:dyDescent="0.25">
      <c r="B35" t="s">
        <v>27</v>
      </c>
    </row>
    <row r="37" spans="1:10" x14ac:dyDescent="0.25">
      <c r="B37" t="s">
        <v>28</v>
      </c>
      <c r="H37" t="s">
        <v>28</v>
      </c>
    </row>
    <row r="38" spans="1:10" x14ac:dyDescent="0.25">
      <c r="B38" t="s">
        <v>29</v>
      </c>
      <c r="H38" t="s">
        <v>30</v>
      </c>
    </row>
  </sheetData>
  <mergeCells count="5">
    <mergeCell ref="A6:J6"/>
    <mergeCell ref="I7:J7"/>
    <mergeCell ref="I8:J8"/>
    <mergeCell ref="I9:J9"/>
    <mergeCell ref="B34:J34"/>
  </mergeCells>
  <hyperlinks>
    <hyperlink ref="H5" r:id="rId1" xr:uid="{00000000-0004-0000-4800-000000000000}"/>
  </hyperlinks>
  <pageMargins left="0.2" right="0.1" top="0.25" bottom="0.25" header="0.3" footer="0.3"/>
  <pageSetup paperSize="9" orientation="portrait" r:id="rId2"/>
  <drawing r:id="rId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J26"/>
  <sheetViews>
    <sheetView topLeftCell="A4" workbookViewId="0">
      <selection activeCell="A9" sqref="A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275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280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276</v>
      </c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277</v>
      </c>
      <c r="C16" s="24" t="s">
        <v>165</v>
      </c>
      <c r="D16" s="25">
        <v>12</v>
      </c>
      <c r="E16" s="26">
        <v>650</v>
      </c>
      <c r="F16" s="27">
        <f t="shared" ref="F16" si="0">D16*E16</f>
        <v>7800</v>
      </c>
      <c r="G16" s="27">
        <f>F16*0.17</f>
        <v>1326</v>
      </c>
      <c r="H16" s="39">
        <f>E16*1.17</f>
        <v>760.5</v>
      </c>
      <c r="I16" s="27">
        <f>H16*D16</f>
        <v>9126</v>
      </c>
      <c r="J16" s="28"/>
    </row>
    <row r="17" spans="1:10" s="21" customFormat="1" x14ac:dyDescent="0.25">
      <c r="A17" s="22">
        <v>1</v>
      </c>
      <c r="B17" s="23" t="s">
        <v>278</v>
      </c>
      <c r="C17" s="24" t="s">
        <v>165</v>
      </c>
      <c r="D17" s="25">
        <v>6</v>
      </c>
      <c r="E17" s="26">
        <v>440</v>
      </c>
      <c r="F17" s="27">
        <f t="shared" ref="F17" si="1">D17*E17</f>
        <v>2640</v>
      </c>
      <c r="G17" s="27">
        <f>F17*0.17</f>
        <v>448.8</v>
      </c>
      <c r="H17" s="39">
        <f>E17*1.17</f>
        <v>514.79999999999995</v>
      </c>
      <c r="I17" s="27">
        <f>H17*D17</f>
        <v>3088.7999999999997</v>
      </c>
      <c r="J17" s="28"/>
    </row>
    <row r="18" spans="1:10" s="21" customFormat="1" x14ac:dyDescent="0.25">
      <c r="A18" s="29"/>
      <c r="B18" s="30"/>
      <c r="C18" s="31"/>
      <c r="D18" s="25"/>
      <c r="E18" s="26"/>
      <c r="F18" s="32"/>
      <c r="G18" s="32"/>
      <c r="H18" s="26"/>
      <c r="I18" s="32"/>
      <c r="J18" s="28"/>
    </row>
    <row r="19" spans="1:10" ht="15.75" thickBot="1" x14ac:dyDescent="0.3">
      <c r="A19" s="33"/>
      <c r="B19" s="34" t="s">
        <v>24</v>
      </c>
      <c r="C19" s="35"/>
      <c r="D19" s="36">
        <f>SUM(D16:D17)</f>
        <v>18</v>
      </c>
      <c r="E19" s="35"/>
      <c r="F19" s="36">
        <f>SUM(F16:F17)</f>
        <v>10440</v>
      </c>
      <c r="G19" s="36">
        <f>SUM(G16:G17)</f>
        <v>1774.8</v>
      </c>
      <c r="H19" s="35"/>
      <c r="I19" s="36">
        <f>SUM(I16:I17)</f>
        <v>12214.8</v>
      </c>
      <c r="J19" s="37"/>
    </row>
    <row r="20" spans="1:10" ht="15.75" thickTop="1" x14ac:dyDescent="0.25">
      <c r="A20" s="33"/>
      <c r="B20" s="34" t="s">
        <v>279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27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mergeCells count="5">
    <mergeCell ref="A6:J6"/>
    <mergeCell ref="I7:J7"/>
    <mergeCell ref="I8:J8"/>
    <mergeCell ref="I9:J9"/>
    <mergeCell ref="B22:J22"/>
  </mergeCells>
  <hyperlinks>
    <hyperlink ref="H5" r:id="rId1" xr:uid="{00000000-0004-0000-4900-000000000000}"/>
  </hyperlinks>
  <pageMargins left="0.2" right="0.1" top="0.25" bottom="0.25" header="0.3" footer="0.3"/>
  <pageSetup paperSize="9" orientation="portrait" r:id="rId2"/>
  <drawing r:id="rId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J25"/>
  <sheetViews>
    <sheetView topLeftCell="A4" workbookViewId="0">
      <selection activeCell="A9" sqref="A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271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281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272</v>
      </c>
      <c r="C16" s="24" t="s">
        <v>273</v>
      </c>
      <c r="D16" s="25">
        <v>200</v>
      </c>
      <c r="E16" s="26">
        <v>26</v>
      </c>
      <c r="F16" s="27">
        <f t="shared" ref="F16" si="0">D16*E16</f>
        <v>5200</v>
      </c>
      <c r="G16" s="27">
        <f>F16*0.17</f>
        <v>884.00000000000011</v>
      </c>
      <c r="H16" s="39">
        <f>E16*1.17</f>
        <v>30.419999999999998</v>
      </c>
      <c r="I16" s="27">
        <f>H16*D16</f>
        <v>6084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200</v>
      </c>
      <c r="E18" s="35"/>
      <c r="F18" s="36">
        <f>SUM(F16:F16)</f>
        <v>5200</v>
      </c>
      <c r="G18" s="36">
        <f>SUM(G16:G16)</f>
        <v>884.00000000000011</v>
      </c>
      <c r="H18" s="35"/>
      <c r="I18" s="36">
        <f>SUM(I16:I16)</f>
        <v>6084</v>
      </c>
      <c r="J18" s="37"/>
    </row>
    <row r="19" spans="1:10" ht="15.75" thickTop="1" x14ac:dyDescent="0.25">
      <c r="A19" s="33"/>
      <c r="B19" s="34" t="s">
        <v>274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4A00-000000000000}"/>
  </hyperlinks>
  <pageMargins left="0.2" right="0.1" top="0.25" bottom="0.25" header="0.3" footer="0.3"/>
  <pageSetup paperSize="9" orientation="portrait" r:id="rId2"/>
  <drawing r:id="rId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J35"/>
  <sheetViews>
    <sheetView workbookViewId="0">
      <selection activeCell="A9" sqref="A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9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253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282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254</v>
      </c>
      <c r="J9" s="186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257</v>
      </c>
      <c r="C16" s="24" t="s">
        <v>23</v>
      </c>
      <c r="D16" s="25">
        <v>500</v>
      </c>
      <c r="E16" s="26">
        <f>64.1015/117*117</f>
        <v>64.101500000000001</v>
      </c>
      <c r="F16" s="27">
        <f t="shared" ref="F16:F26" si="0">D16*E16</f>
        <v>32050.75</v>
      </c>
      <c r="G16" s="27">
        <f t="shared" ref="G16:G26" si="1">F16*0.17</f>
        <v>5448.6275000000005</v>
      </c>
      <c r="H16" s="39">
        <f t="shared" ref="H16:H24" si="2">E16*1.17</f>
        <v>74.998755000000003</v>
      </c>
      <c r="I16" s="27">
        <f t="shared" ref="I16:I26" si="3">H16*D16</f>
        <v>37499.377500000002</v>
      </c>
      <c r="J16" s="28"/>
    </row>
    <row r="17" spans="1:10" s="21" customFormat="1" x14ac:dyDescent="0.25">
      <c r="A17" s="22">
        <f>A16+1</f>
        <v>2</v>
      </c>
      <c r="B17" s="23" t="s">
        <v>258</v>
      </c>
      <c r="C17" s="24" t="s">
        <v>23</v>
      </c>
      <c r="D17" s="25">
        <v>100</v>
      </c>
      <c r="E17" s="26">
        <v>10.256399999999999</v>
      </c>
      <c r="F17" s="27">
        <f t="shared" si="0"/>
        <v>1025.6399999999999</v>
      </c>
      <c r="G17" s="27">
        <f t="shared" si="1"/>
        <v>174.3588</v>
      </c>
      <c r="H17" s="39">
        <f t="shared" si="2"/>
        <v>11.999987999999998</v>
      </c>
      <c r="I17" s="27">
        <f t="shared" si="3"/>
        <v>1199.9987999999998</v>
      </c>
      <c r="J17" s="28"/>
    </row>
    <row r="18" spans="1:10" s="21" customFormat="1" ht="25.5" x14ac:dyDescent="0.25">
      <c r="A18" s="22">
        <f t="shared" ref="A18:A26" si="4">A17+1</f>
        <v>3</v>
      </c>
      <c r="B18" s="23" t="s">
        <v>259</v>
      </c>
      <c r="C18" s="24" t="s">
        <v>23</v>
      </c>
      <c r="D18" s="25">
        <v>100</v>
      </c>
      <c r="E18" s="26">
        <v>102.56399999999999</v>
      </c>
      <c r="F18" s="27">
        <f t="shared" si="0"/>
        <v>10256.4</v>
      </c>
      <c r="G18" s="27">
        <f t="shared" si="1"/>
        <v>1743.588</v>
      </c>
      <c r="H18" s="39">
        <f t="shared" si="2"/>
        <v>119.99987999999999</v>
      </c>
      <c r="I18" s="27">
        <f t="shared" si="3"/>
        <v>11999.987999999999</v>
      </c>
      <c r="J18" s="28"/>
    </row>
    <row r="19" spans="1:10" s="21" customFormat="1" x14ac:dyDescent="0.25">
      <c r="A19" s="22">
        <f t="shared" si="4"/>
        <v>4</v>
      </c>
      <c r="B19" s="23" t="s">
        <v>260</v>
      </c>
      <c r="C19" s="24" t="s">
        <v>23</v>
      </c>
      <c r="D19" s="25">
        <v>100</v>
      </c>
      <c r="E19" s="26">
        <v>29.89</v>
      </c>
      <c r="F19" s="27">
        <f t="shared" si="0"/>
        <v>2989</v>
      </c>
      <c r="G19" s="27">
        <f t="shared" ref="G19" si="5">F19*0.17</f>
        <v>508.13000000000005</v>
      </c>
      <c r="H19" s="39">
        <f t="shared" si="2"/>
        <v>34.971299999999999</v>
      </c>
      <c r="I19" s="27">
        <f t="shared" si="3"/>
        <v>3497.13</v>
      </c>
      <c r="J19" s="28"/>
    </row>
    <row r="20" spans="1:10" s="21" customFormat="1" x14ac:dyDescent="0.25">
      <c r="A20" s="22">
        <f t="shared" si="4"/>
        <v>5</v>
      </c>
      <c r="B20" s="23" t="s">
        <v>261</v>
      </c>
      <c r="C20" s="24" t="s">
        <v>23</v>
      </c>
      <c r="D20" s="25">
        <v>100</v>
      </c>
      <c r="E20" s="26">
        <v>19</v>
      </c>
      <c r="F20" s="27">
        <f t="shared" si="0"/>
        <v>1900</v>
      </c>
      <c r="G20" s="27">
        <f>F20*0</f>
        <v>0</v>
      </c>
      <c r="H20" s="39">
        <f>E20*1</f>
        <v>19</v>
      </c>
      <c r="I20" s="27">
        <f t="shared" si="3"/>
        <v>1900</v>
      </c>
      <c r="J20" s="28"/>
    </row>
    <row r="21" spans="1:10" s="21" customFormat="1" ht="25.5" x14ac:dyDescent="0.25">
      <c r="A21" s="22">
        <f t="shared" si="4"/>
        <v>6</v>
      </c>
      <c r="B21" s="23" t="s">
        <v>262</v>
      </c>
      <c r="C21" s="24" t="s">
        <v>76</v>
      </c>
      <c r="D21" s="25">
        <v>10</v>
      </c>
      <c r="E21" s="26">
        <v>940</v>
      </c>
      <c r="F21" s="27">
        <f t="shared" si="0"/>
        <v>9400</v>
      </c>
      <c r="G21" s="27">
        <f t="shared" si="1"/>
        <v>1598.0000000000002</v>
      </c>
      <c r="H21" s="39">
        <f t="shared" si="2"/>
        <v>1099.8</v>
      </c>
      <c r="I21" s="27">
        <f t="shared" si="3"/>
        <v>10998</v>
      </c>
      <c r="J21" s="28"/>
    </row>
    <row r="22" spans="1:10" s="21" customFormat="1" ht="25.5" x14ac:dyDescent="0.25">
      <c r="A22" s="22">
        <f t="shared" si="4"/>
        <v>7</v>
      </c>
      <c r="B22" s="23" t="s">
        <v>263</v>
      </c>
      <c r="C22" s="24" t="s">
        <v>165</v>
      </c>
      <c r="D22" s="25">
        <v>5</v>
      </c>
      <c r="E22" s="26">
        <v>299</v>
      </c>
      <c r="F22" s="27">
        <f t="shared" si="0"/>
        <v>1495</v>
      </c>
      <c r="G22" s="27">
        <f t="shared" si="1"/>
        <v>254.15</v>
      </c>
      <c r="H22" s="39">
        <f t="shared" si="2"/>
        <v>349.83</v>
      </c>
      <c r="I22" s="27">
        <f t="shared" si="3"/>
        <v>1749.1499999999999</v>
      </c>
      <c r="J22" s="28"/>
    </row>
    <row r="23" spans="1:10" s="21" customFormat="1" ht="25.5" x14ac:dyDescent="0.25">
      <c r="A23" s="22">
        <f t="shared" si="4"/>
        <v>8</v>
      </c>
      <c r="B23" s="23" t="s">
        <v>264</v>
      </c>
      <c r="C23" s="24" t="s">
        <v>165</v>
      </c>
      <c r="D23" s="25">
        <v>5</v>
      </c>
      <c r="E23" s="26">
        <v>385</v>
      </c>
      <c r="F23" s="27">
        <f t="shared" si="0"/>
        <v>1925</v>
      </c>
      <c r="G23" s="27">
        <f t="shared" si="1"/>
        <v>327.25</v>
      </c>
      <c r="H23" s="39">
        <f t="shared" si="2"/>
        <v>450.45</v>
      </c>
      <c r="I23" s="27">
        <f t="shared" si="3"/>
        <v>2252.25</v>
      </c>
      <c r="J23" s="28"/>
    </row>
    <row r="24" spans="1:10" s="21" customFormat="1" ht="25.5" x14ac:dyDescent="0.25">
      <c r="A24" s="22">
        <f t="shared" si="4"/>
        <v>9</v>
      </c>
      <c r="B24" s="23" t="s">
        <v>265</v>
      </c>
      <c r="C24" s="24" t="s">
        <v>76</v>
      </c>
      <c r="D24" s="25">
        <v>50</v>
      </c>
      <c r="E24" s="26">
        <v>123</v>
      </c>
      <c r="F24" s="27">
        <f t="shared" si="0"/>
        <v>6150</v>
      </c>
      <c r="G24" s="27">
        <f t="shared" si="1"/>
        <v>1045.5</v>
      </c>
      <c r="H24" s="39">
        <f t="shared" si="2"/>
        <v>143.91</v>
      </c>
      <c r="I24" s="27">
        <f t="shared" si="3"/>
        <v>7195.5</v>
      </c>
      <c r="J24" s="28"/>
    </row>
    <row r="25" spans="1:10" s="21" customFormat="1" ht="25.5" x14ac:dyDescent="0.25">
      <c r="A25" s="22">
        <f t="shared" si="4"/>
        <v>10</v>
      </c>
      <c r="B25" s="23" t="s">
        <v>266</v>
      </c>
      <c r="C25" s="24" t="s">
        <v>268</v>
      </c>
      <c r="D25" s="25">
        <v>1</v>
      </c>
      <c r="E25" s="26">
        <v>11000</v>
      </c>
      <c r="F25" s="27">
        <f t="shared" si="0"/>
        <v>11000</v>
      </c>
      <c r="G25" s="27">
        <f>F25*0</f>
        <v>0</v>
      </c>
      <c r="H25" s="39">
        <f>E25*1</f>
        <v>11000</v>
      </c>
      <c r="I25" s="27">
        <f t="shared" si="3"/>
        <v>11000</v>
      </c>
      <c r="J25" s="28"/>
    </row>
    <row r="26" spans="1:10" s="21" customFormat="1" ht="25.5" x14ac:dyDescent="0.25">
      <c r="A26" s="22">
        <f t="shared" si="4"/>
        <v>11</v>
      </c>
      <c r="B26" s="23" t="s">
        <v>267</v>
      </c>
      <c r="C26" s="24" t="s">
        <v>269</v>
      </c>
      <c r="D26" s="25">
        <v>1</v>
      </c>
      <c r="E26" s="26">
        <v>725</v>
      </c>
      <c r="F26" s="27">
        <f t="shared" si="0"/>
        <v>725</v>
      </c>
      <c r="G26" s="27">
        <f t="shared" si="1"/>
        <v>123.25000000000001</v>
      </c>
      <c r="H26" s="39">
        <f t="shared" ref="H26" si="6">E26*1.17</f>
        <v>848.25</v>
      </c>
      <c r="I26" s="27">
        <f t="shared" si="3"/>
        <v>848.25</v>
      </c>
      <c r="J26" s="28"/>
    </row>
    <row r="27" spans="1:10" s="21" customFormat="1" x14ac:dyDescent="0.25">
      <c r="A27" s="29"/>
      <c r="B27" s="30"/>
      <c r="C27" s="31"/>
      <c r="D27" s="25"/>
      <c r="E27" s="26"/>
      <c r="F27" s="32"/>
      <c r="G27" s="32"/>
      <c r="H27" s="26"/>
      <c r="I27" s="32"/>
      <c r="J27" s="28"/>
    </row>
    <row r="28" spans="1:10" ht="15.75" thickBot="1" x14ac:dyDescent="0.3">
      <c r="A28" s="33"/>
      <c r="B28" s="34" t="s">
        <v>24</v>
      </c>
      <c r="C28" s="35"/>
      <c r="D28" s="36">
        <f>SUM(D16:D26)</f>
        <v>972</v>
      </c>
      <c r="E28" s="35"/>
      <c r="F28" s="36">
        <f>SUM(F16:F26)</f>
        <v>78916.790000000008</v>
      </c>
      <c r="G28" s="36">
        <f>SUM(G16:G26)</f>
        <v>11222.854300000001</v>
      </c>
      <c r="H28" s="35"/>
      <c r="I28" s="36">
        <f>SUM(I16:I26)</f>
        <v>90139.644299999985</v>
      </c>
      <c r="J28" s="37"/>
    </row>
    <row r="29" spans="1:10" ht="15.75" thickTop="1" x14ac:dyDescent="0.25">
      <c r="A29" s="33"/>
      <c r="B29" s="34" t="s">
        <v>270</v>
      </c>
      <c r="C29" s="35"/>
      <c r="D29" s="35"/>
      <c r="E29" s="35"/>
      <c r="F29" s="35"/>
      <c r="G29" s="35"/>
      <c r="H29" s="35"/>
      <c r="I29" s="35"/>
      <c r="J29" s="37"/>
    </row>
    <row r="30" spans="1:10" x14ac:dyDescent="0.25">
      <c r="A30" s="33"/>
      <c r="B30" s="38" t="s">
        <v>25</v>
      </c>
      <c r="C30" s="35"/>
      <c r="D30" s="35"/>
      <c r="E30" s="35"/>
      <c r="F30" s="35"/>
      <c r="G30" s="35"/>
      <c r="H30" s="35"/>
      <c r="I30" s="35"/>
      <c r="J30" s="37"/>
    </row>
    <row r="31" spans="1:10" ht="30" customHeight="1" x14ac:dyDescent="0.25">
      <c r="B31" s="183" t="s">
        <v>26</v>
      </c>
      <c r="C31" s="183"/>
      <c r="D31" s="183"/>
      <c r="E31" s="183"/>
      <c r="F31" s="183"/>
      <c r="G31" s="183"/>
      <c r="H31" s="183"/>
      <c r="I31" s="183"/>
      <c r="J31" s="183"/>
    </row>
    <row r="32" spans="1:10" x14ac:dyDescent="0.25">
      <c r="B32" t="s">
        <v>27</v>
      </c>
    </row>
    <row r="34" spans="2:8" x14ac:dyDescent="0.25">
      <c r="B34" t="s">
        <v>28</v>
      </c>
      <c r="H34" t="s">
        <v>28</v>
      </c>
    </row>
    <row r="35" spans="2:8" x14ac:dyDescent="0.25">
      <c r="B35" t="s">
        <v>29</v>
      </c>
      <c r="H35" t="s">
        <v>30</v>
      </c>
    </row>
  </sheetData>
  <mergeCells count="5">
    <mergeCell ref="A6:J6"/>
    <mergeCell ref="I7:J7"/>
    <mergeCell ref="I8:J8"/>
    <mergeCell ref="I9:J9"/>
    <mergeCell ref="B31:J31"/>
  </mergeCells>
  <hyperlinks>
    <hyperlink ref="H5" r:id="rId1" xr:uid="{00000000-0004-0000-4B00-000000000000}"/>
  </hyperlinks>
  <pageMargins left="0.2" right="0.1" top="0.25" bottom="0.25" header="0.3" footer="0.3"/>
  <pageSetup paperSize="9" orientation="portrait" r:id="rId2"/>
  <drawing r:id="rId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J40"/>
  <sheetViews>
    <sheetView workbookViewId="0">
      <selection activeCell="A9" sqref="A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236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283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237</v>
      </c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238</v>
      </c>
      <c r="C16" s="24" t="s">
        <v>23</v>
      </c>
      <c r="D16" s="25">
        <v>24</v>
      </c>
      <c r="E16" s="26">
        <f>64/117*117</f>
        <v>64</v>
      </c>
      <c r="F16" s="27">
        <f t="shared" ref="F16" si="0">D16*E16</f>
        <v>1536</v>
      </c>
      <c r="G16" s="27">
        <f>F16*0</f>
        <v>0</v>
      </c>
      <c r="H16" s="39">
        <f>E16*1</f>
        <v>64</v>
      </c>
      <c r="I16" s="27">
        <f t="shared" ref="I16" si="1">H16*D16</f>
        <v>1536</v>
      </c>
      <c r="J16" s="28"/>
    </row>
    <row r="17" spans="1:10" s="21" customFormat="1" x14ac:dyDescent="0.25">
      <c r="A17" s="22">
        <f>A16+1</f>
        <v>2</v>
      </c>
      <c r="B17" s="23" t="s">
        <v>239</v>
      </c>
      <c r="C17" s="24" t="s">
        <v>23</v>
      </c>
      <c r="D17" s="25">
        <v>36</v>
      </c>
      <c r="E17" s="26">
        <v>22</v>
      </c>
      <c r="F17" s="27">
        <f t="shared" ref="F17" si="2">D17*E17</f>
        <v>792</v>
      </c>
      <c r="G17" s="27">
        <f>F17*0</f>
        <v>0</v>
      </c>
      <c r="H17" s="39">
        <f>E17*1</f>
        <v>22</v>
      </c>
      <c r="I17" s="27">
        <f t="shared" ref="I17" si="3">H17*D17</f>
        <v>792</v>
      </c>
      <c r="J17" s="28"/>
    </row>
    <row r="18" spans="1:10" s="21" customFormat="1" x14ac:dyDescent="0.25">
      <c r="A18" s="22">
        <f t="shared" ref="A18:A31" si="4">A17+1</f>
        <v>3</v>
      </c>
      <c r="B18" s="23" t="s">
        <v>149</v>
      </c>
      <c r="C18" s="24" t="s">
        <v>23</v>
      </c>
      <c r="D18" s="25">
        <v>12</v>
      </c>
      <c r="E18" s="26">
        <v>22</v>
      </c>
      <c r="F18" s="27">
        <f t="shared" ref="F18" si="5">D18*E18</f>
        <v>264</v>
      </c>
      <c r="G18" s="27">
        <f>F18*0</f>
        <v>0</v>
      </c>
      <c r="H18" s="39">
        <f>E18*1</f>
        <v>22</v>
      </c>
      <c r="I18" s="27">
        <f t="shared" ref="I18" si="6">H18*D18</f>
        <v>264</v>
      </c>
      <c r="J18" s="28"/>
    </row>
    <row r="19" spans="1:10" s="21" customFormat="1" x14ac:dyDescent="0.25">
      <c r="A19" s="22">
        <f t="shared" si="4"/>
        <v>4</v>
      </c>
      <c r="B19" s="23" t="s">
        <v>240</v>
      </c>
      <c r="C19" s="24" t="s">
        <v>23</v>
      </c>
      <c r="D19" s="25">
        <v>12</v>
      </c>
      <c r="E19" s="26">
        <v>220</v>
      </c>
      <c r="F19" s="27">
        <f t="shared" ref="F19" si="7">D19*E19</f>
        <v>2640</v>
      </c>
      <c r="G19" s="27">
        <f t="shared" ref="G19" si="8">F19*0.17</f>
        <v>448.8</v>
      </c>
      <c r="H19" s="39">
        <f>E19*1.17</f>
        <v>257.39999999999998</v>
      </c>
      <c r="I19" s="27">
        <f t="shared" ref="I19" si="9">H19*D19</f>
        <v>3088.7999999999997</v>
      </c>
      <c r="J19" s="28"/>
    </row>
    <row r="20" spans="1:10" s="21" customFormat="1" x14ac:dyDescent="0.25">
      <c r="A20" s="22">
        <f t="shared" si="4"/>
        <v>5</v>
      </c>
      <c r="B20" s="23" t="s">
        <v>241</v>
      </c>
      <c r="C20" s="24" t="s">
        <v>23</v>
      </c>
      <c r="D20" s="25">
        <v>40</v>
      </c>
      <c r="E20" s="26">
        <v>84</v>
      </c>
      <c r="F20" s="27">
        <f t="shared" ref="F20:F31" si="10">D20*E20</f>
        <v>3360</v>
      </c>
      <c r="G20" s="27">
        <f t="shared" ref="G20:G31" si="11">F20*0.17</f>
        <v>571.20000000000005</v>
      </c>
      <c r="H20" s="39">
        <f t="shared" ref="H20:H30" si="12">E20*1.17</f>
        <v>98.28</v>
      </c>
      <c r="I20" s="27">
        <f t="shared" ref="I20:I31" si="13">H20*D20</f>
        <v>3931.2</v>
      </c>
      <c r="J20" s="28"/>
    </row>
    <row r="21" spans="1:10" s="21" customFormat="1" x14ac:dyDescent="0.25">
      <c r="A21" s="22">
        <f t="shared" si="4"/>
        <v>6</v>
      </c>
      <c r="B21" s="23" t="s">
        <v>242</v>
      </c>
      <c r="C21" s="24" t="s">
        <v>23</v>
      </c>
      <c r="D21" s="25">
        <v>100</v>
      </c>
      <c r="E21" s="26">
        <v>16</v>
      </c>
      <c r="F21" s="27">
        <f t="shared" si="10"/>
        <v>1600</v>
      </c>
      <c r="G21" s="27">
        <f t="shared" si="11"/>
        <v>272</v>
      </c>
      <c r="H21" s="39">
        <f t="shared" si="12"/>
        <v>18.72</v>
      </c>
      <c r="I21" s="27">
        <f t="shared" si="13"/>
        <v>1872</v>
      </c>
      <c r="J21" s="28"/>
    </row>
    <row r="22" spans="1:10" s="21" customFormat="1" x14ac:dyDescent="0.25">
      <c r="A22" s="22">
        <f t="shared" si="4"/>
        <v>7</v>
      </c>
      <c r="B22" s="23" t="s">
        <v>243</v>
      </c>
      <c r="C22" s="24" t="s">
        <v>23</v>
      </c>
      <c r="D22" s="25">
        <v>18</v>
      </c>
      <c r="E22" s="26">
        <v>185</v>
      </c>
      <c r="F22" s="27">
        <f t="shared" si="10"/>
        <v>3330</v>
      </c>
      <c r="G22" s="27">
        <f t="shared" si="11"/>
        <v>566.1</v>
      </c>
      <c r="H22" s="39">
        <f t="shared" si="12"/>
        <v>216.45</v>
      </c>
      <c r="I22" s="27">
        <f t="shared" si="13"/>
        <v>3896.1</v>
      </c>
      <c r="J22" s="28"/>
    </row>
    <row r="23" spans="1:10" s="21" customFormat="1" x14ac:dyDescent="0.25">
      <c r="A23" s="22">
        <f t="shared" si="4"/>
        <v>8</v>
      </c>
      <c r="B23" s="23" t="s">
        <v>176</v>
      </c>
      <c r="C23" s="24" t="s">
        <v>23</v>
      </c>
      <c r="D23" s="25">
        <v>10</v>
      </c>
      <c r="E23" s="26">
        <v>340</v>
      </c>
      <c r="F23" s="27">
        <f t="shared" si="10"/>
        <v>3400</v>
      </c>
      <c r="G23" s="27">
        <f t="shared" si="11"/>
        <v>578</v>
      </c>
      <c r="H23" s="39">
        <f t="shared" si="12"/>
        <v>397.79999999999995</v>
      </c>
      <c r="I23" s="27">
        <f t="shared" si="13"/>
        <v>3977.9999999999995</v>
      </c>
      <c r="J23" s="28"/>
    </row>
    <row r="24" spans="1:10" s="21" customFormat="1" x14ac:dyDescent="0.25">
      <c r="A24" s="22">
        <f t="shared" si="4"/>
        <v>9</v>
      </c>
      <c r="B24" s="23" t="s">
        <v>244</v>
      </c>
      <c r="C24" s="24" t="s">
        <v>23</v>
      </c>
      <c r="D24" s="25">
        <v>50</v>
      </c>
      <c r="E24" s="26">
        <v>16</v>
      </c>
      <c r="F24" s="27">
        <f t="shared" si="10"/>
        <v>800</v>
      </c>
      <c r="G24" s="27">
        <f t="shared" si="11"/>
        <v>136</v>
      </c>
      <c r="H24" s="39">
        <f t="shared" si="12"/>
        <v>18.72</v>
      </c>
      <c r="I24" s="27">
        <f t="shared" si="13"/>
        <v>936</v>
      </c>
      <c r="J24" s="28"/>
    </row>
    <row r="25" spans="1:10" s="21" customFormat="1" x14ac:dyDescent="0.25">
      <c r="A25" s="22">
        <f t="shared" si="4"/>
        <v>10</v>
      </c>
      <c r="B25" s="23" t="s">
        <v>245</v>
      </c>
      <c r="C25" s="24" t="s">
        <v>165</v>
      </c>
      <c r="D25" s="25">
        <v>1</v>
      </c>
      <c r="E25" s="26">
        <v>250</v>
      </c>
      <c r="F25" s="27">
        <f t="shared" si="10"/>
        <v>250</v>
      </c>
      <c r="G25" s="27">
        <f t="shared" si="11"/>
        <v>42.5</v>
      </c>
      <c r="H25" s="39">
        <f t="shared" si="12"/>
        <v>292.5</v>
      </c>
      <c r="I25" s="27">
        <f t="shared" si="13"/>
        <v>292.5</v>
      </c>
      <c r="J25" s="28"/>
    </row>
    <row r="26" spans="1:10" s="21" customFormat="1" x14ac:dyDescent="0.25">
      <c r="A26" s="22">
        <f t="shared" si="4"/>
        <v>11</v>
      </c>
      <c r="B26" s="23" t="s">
        <v>246</v>
      </c>
      <c r="C26" s="24" t="s">
        <v>23</v>
      </c>
      <c r="D26" s="25">
        <v>25</v>
      </c>
      <c r="E26" s="26">
        <v>80</v>
      </c>
      <c r="F26" s="27">
        <f t="shared" si="10"/>
        <v>2000</v>
      </c>
      <c r="G26" s="27">
        <f t="shared" si="11"/>
        <v>340</v>
      </c>
      <c r="H26" s="39">
        <f t="shared" si="12"/>
        <v>93.6</v>
      </c>
      <c r="I26" s="27">
        <f t="shared" si="13"/>
        <v>2340</v>
      </c>
      <c r="J26" s="28"/>
    </row>
    <row r="27" spans="1:10" s="21" customFormat="1" x14ac:dyDescent="0.25">
      <c r="A27" s="22">
        <f t="shared" si="4"/>
        <v>12</v>
      </c>
      <c r="B27" s="23" t="s">
        <v>247</v>
      </c>
      <c r="C27" s="24" t="s">
        <v>23</v>
      </c>
      <c r="D27" s="25">
        <v>12</v>
      </c>
      <c r="E27" s="26">
        <v>48</v>
      </c>
      <c r="F27" s="27">
        <f t="shared" si="10"/>
        <v>576</v>
      </c>
      <c r="G27" s="27">
        <f t="shared" si="11"/>
        <v>97.92</v>
      </c>
      <c r="H27" s="39">
        <f t="shared" si="12"/>
        <v>56.16</v>
      </c>
      <c r="I27" s="27">
        <f t="shared" si="13"/>
        <v>673.92</v>
      </c>
      <c r="J27" s="28"/>
    </row>
    <row r="28" spans="1:10" s="21" customFormat="1" x14ac:dyDescent="0.25">
      <c r="A28" s="22">
        <f t="shared" si="4"/>
        <v>13</v>
      </c>
      <c r="B28" s="23" t="s">
        <v>248</v>
      </c>
      <c r="C28" s="24" t="s">
        <v>23</v>
      </c>
      <c r="D28" s="25">
        <v>10</v>
      </c>
      <c r="E28" s="26">
        <v>130</v>
      </c>
      <c r="F28" s="27">
        <f t="shared" si="10"/>
        <v>1300</v>
      </c>
      <c r="G28" s="27">
        <f t="shared" si="11"/>
        <v>221.00000000000003</v>
      </c>
      <c r="H28" s="39">
        <f t="shared" si="12"/>
        <v>152.1</v>
      </c>
      <c r="I28" s="27">
        <f t="shared" si="13"/>
        <v>1521</v>
      </c>
      <c r="J28" s="28"/>
    </row>
    <row r="29" spans="1:10" s="21" customFormat="1" ht="25.5" x14ac:dyDescent="0.25">
      <c r="A29" s="22">
        <f t="shared" si="4"/>
        <v>14</v>
      </c>
      <c r="B29" s="23" t="s">
        <v>249</v>
      </c>
      <c r="C29" s="24" t="s">
        <v>23</v>
      </c>
      <c r="D29" s="25">
        <v>5</v>
      </c>
      <c r="E29" s="26">
        <v>950</v>
      </c>
      <c r="F29" s="27">
        <f t="shared" si="10"/>
        <v>4750</v>
      </c>
      <c r="G29" s="27">
        <f t="shared" si="11"/>
        <v>807.50000000000011</v>
      </c>
      <c r="H29" s="39">
        <f t="shared" si="12"/>
        <v>1111.5</v>
      </c>
      <c r="I29" s="27">
        <f t="shared" si="13"/>
        <v>5557.5</v>
      </c>
      <c r="J29" s="28"/>
    </row>
    <row r="30" spans="1:10" s="21" customFormat="1" x14ac:dyDescent="0.25">
      <c r="A30" s="22">
        <f t="shared" si="4"/>
        <v>15</v>
      </c>
      <c r="B30" s="23" t="s">
        <v>250</v>
      </c>
      <c r="C30" s="24" t="s">
        <v>23</v>
      </c>
      <c r="D30" s="25">
        <v>24</v>
      </c>
      <c r="E30" s="26">
        <v>160</v>
      </c>
      <c r="F30" s="27">
        <f t="shared" si="10"/>
        <v>3840</v>
      </c>
      <c r="G30" s="27">
        <f t="shared" si="11"/>
        <v>652.80000000000007</v>
      </c>
      <c r="H30" s="39">
        <f t="shared" si="12"/>
        <v>187.2</v>
      </c>
      <c r="I30" s="27">
        <f t="shared" si="13"/>
        <v>4492.7999999999993</v>
      </c>
      <c r="J30" s="28"/>
    </row>
    <row r="31" spans="1:10" s="21" customFormat="1" x14ac:dyDescent="0.25">
      <c r="A31" s="22">
        <f t="shared" si="4"/>
        <v>16</v>
      </c>
      <c r="B31" s="23" t="s">
        <v>251</v>
      </c>
      <c r="C31" s="24" t="s">
        <v>76</v>
      </c>
      <c r="D31" s="25">
        <v>2</v>
      </c>
      <c r="E31" s="26">
        <v>150</v>
      </c>
      <c r="F31" s="27">
        <f t="shared" si="10"/>
        <v>300</v>
      </c>
      <c r="G31" s="27">
        <f t="shared" si="11"/>
        <v>51.000000000000007</v>
      </c>
      <c r="H31" s="39">
        <f>E31*1.165</f>
        <v>174.75</v>
      </c>
      <c r="I31" s="27">
        <f t="shared" si="13"/>
        <v>349.5</v>
      </c>
      <c r="J31" s="28"/>
    </row>
    <row r="32" spans="1:10" s="21" customFormat="1" x14ac:dyDescent="0.25">
      <c r="A32" s="29"/>
      <c r="B32" s="30"/>
      <c r="C32" s="31"/>
      <c r="D32" s="25"/>
      <c r="E32" s="26"/>
      <c r="F32" s="32"/>
      <c r="G32" s="32"/>
      <c r="H32" s="26"/>
      <c r="I32" s="32"/>
      <c r="J32" s="28"/>
    </row>
    <row r="33" spans="1:10" ht="15.75" thickBot="1" x14ac:dyDescent="0.3">
      <c r="A33" s="33"/>
      <c r="B33" s="34" t="s">
        <v>24</v>
      </c>
      <c r="C33" s="35"/>
      <c r="D33" s="36">
        <f>SUM(D16:D31)</f>
        <v>381</v>
      </c>
      <c r="E33" s="35"/>
      <c r="F33" s="36">
        <f>SUM(F16:F31)</f>
        <v>30738</v>
      </c>
      <c r="G33" s="36">
        <f>SUM(G16:G31)</f>
        <v>4784.82</v>
      </c>
      <c r="H33" s="35"/>
      <c r="I33" s="36">
        <f>SUM(I16:I31)</f>
        <v>35521.319999999992</v>
      </c>
      <c r="J33" s="37"/>
    </row>
    <row r="34" spans="1:10" ht="15.75" thickTop="1" x14ac:dyDescent="0.25">
      <c r="A34" s="33"/>
      <c r="B34" s="34" t="s">
        <v>252</v>
      </c>
      <c r="C34" s="35"/>
      <c r="D34" s="35"/>
      <c r="E34" s="35"/>
      <c r="F34" s="35"/>
      <c r="G34" s="35"/>
      <c r="H34" s="35"/>
      <c r="I34" s="35"/>
      <c r="J34" s="37"/>
    </row>
    <row r="35" spans="1:10" x14ac:dyDescent="0.25">
      <c r="A35" s="33"/>
      <c r="B35" s="38" t="s">
        <v>25</v>
      </c>
      <c r="C35" s="35"/>
      <c r="D35" s="35"/>
      <c r="E35" s="35"/>
      <c r="F35" s="35"/>
      <c r="G35" s="35"/>
      <c r="H35" s="35"/>
      <c r="I35" s="35"/>
      <c r="J35" s="37"/>
    </row>
    <row r="36" spans="1:10" ht="30" customHeight="1" x14ac:dyDescent="0.25">
      <c r="B36" s="183" t="s">
        <v>26</v>
      </c>
      <c r="C36" s="183"/>
      <c r="D36" s="183"/>
      <c r="E36" s="183"/>
      <c r="F36" s="183"/>
      <c r="G36" s="183"/>
      <c r="H36" s="183"/>
      <c r="I36" s="183"/>
      <c r="J36" s="183"/>
    </row>
    <row r="37" spans="1:10" x14ac:dyDescent="0.25">
      <c r="B37" t="s">
        <v>27</v>
      </c>
    </row>
    <row r="39" spans="1:10" x14ac:dyDescent="0.25">
      <c r="B39" t="s">
        <v>28</v>
      </c>
      <c r="H39" t="s">
        <v>28</v>
      </c>
    </row>
    <row r="40" spans="1:10" x14ac:dyDescent="0.25">
      <c r="B40" t="s">
        <v>29</v>
      </c>
      <c r="H40" t="s">
        <v>30</v>
      </c>
    </row>
  </sheetData>
  <mergeCells count="5">
    <mergeCell ref="A6:J6"/>
    <mergeCell ref="I7:J7"/>
    <mergeCell ref="I8:J8"/>
    <mergeCell ref="I9:J9"/>
    <mergeCell ref="B36:J36"/>
  </mergeCells>
  <hyperlinks>
    <hyperlink ref="H5" r:id="rId1" xr:uid="{00000000-0004-0000-4C00-000000000000}"/>
  </hyperlinks>
  <pageMargins left="0.2" right="0.1" top="0.25" bottom="0.25" header="0.3" footer="0.3"/>
  <pageSetup paperSize="9"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602F-BAD4-4165-86CD-8BB347757999}">
  <dimension ref="A1:J28"/>
  <sheetViews>
    <sheetView topLeftCell="A21" workbookViewId="0">
      <selection activeCell="H39" sqref="H3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2235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2240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>
        <v>8800758943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x14ac:dyDescent="0.25">
      <c r="C14" s="75"/>
    </row>
    <row r="15" spans="1:10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0" s="21" customFormat="1" x14ac:dyDescent="0.25">
      <c r="A16" s="53">
        <v>1</v>
      </c>
      <c r="B16" s="78" t="s">
        <v>2236</v>
      </c>
      <c r="C16" s="53" t="s">
        <v>23</v>
      </c>
      <c r="D16" s="151">
        <v>10000</v>
      </c>
      <c r="E16" s="85">
        <v>5</v>
      </c>
      <c r="F16" s="56">
        <f t="shared" ref="F16:F19" si="0">D16*E16</f>
        <v>50000</v>
      </c>
      <c r="G16" s="56">
        <f t="shared" ref="G16" si="1">F16*0.17</f>
        <v>8500</v>
      </c>
      <c r="H16" s="85">
        <f t="shared" ref="H16" si="2">E16*1.17</f>
        <v>5.85</v>
      </c>
      <c r="I16" s="56">
        <f t="shared" ref="I16:I19" si="3">H16*D16</f>
        <v>58500</v>
      </c>
      <c r="J16" s="58"/>
    </row>
    <row r="17" spans="1:10" s="21" customFormat="1" x14ac:dyDescent="0.25">
      <c r="A17" s="53">
        <v>2</v>
      </c>
      <c r="B17" s="78" t="s">
        <v>2237</v>
      </c>
      <c r="C17" s="53" t="s">
        <v>23</v>
      </c>
      <c r="D17" s="151">
        <v>10000</v>
      </c>
      <c r="E17" s="85">
        <v>4.5</v>
      </c>
      <c r="F17" s="56">
        <f t="shared" si="0"/>
        <v>45000</v>
      </c>
      <c r="G17" s="56">
        <f t="shared" ref="G17:G19" si="4">F17*0.17</f>
        <v>7650.0000000000009</v>
      </c>
      <c r="H17" s="85">
        <f t="shared" ref="H17:H19" si="5">E17*1.17</f>
        <v>5.2649999999999997</v>
      </c>
      <c r="I17" s="56">
        <f t="shared" si="3"/>
        <v>52650</v>
      </c>
      <c r="J17" s="58"/>
    </row>
    <row r="18" spans="1:10" s="21" customFormat="1" x14ac:dyDescent="0.25">
      <c r="A18" s="53">
        <v>3</v>
      </c>
      <c r="B18" s="78" t="s">
        <v>2238</v>
      </c>
      <c r="C18" s="53" t="s">
        <v>23</v>
      </c>
      <c r="D18" s="151">
        <v>5000</v>
      </c>
      <c r="E18" s="85">
        <v>2</v>
      </c>
      <c r="F18" s="56">
        <f t="shared" ref="F18" si="6">D18*E18</f>
        <v>10000</v>
      </c>
      <c r="G18" s="56">
        <f t="shared" ref="G18" si="7">F18*0.17</f>
        <v>1700.0000000000002</v>
      </c>
      <c r="H18" s="85">
        <f t="shared" ref="H18" si="8">E18*1.17</f>
        <v>2.34</v>
      </c>
      <c r="I18" s="56">
        <f t="shared" ref="I18" si="9">H18*D18</f>
        <v>11700</v>
      </c>
      <c r="J18" s="58"/>
    </row>
    <row r="19" spans="1:10" s="21" customFormat="1" x14ac:dyDescent="0.25">
      <c r="A19" s="53"/>
      <c r="B19" s="47"/>
      <c r="C19" s="82"/>
      <c r="D19" s="152"/>
      <c r="E19" s="56"/>
      <c r="F19" s="56">
        <f t="shared" si="0"/>
        <v>0</v>
      </c>
      <c r="G19" s="56">
        <f t="shared" si="4"/>
        <v>0</v>
      </c>
      <c r="H19" s="129">
        <f t="shared" si="5"/>
        <v>0</v>
      </c>
      <c r="I19" s="56">
        <f t="shared" si="3"/>
        <v>0</v>
      </c>
      <c r="J19" s="58"/>
    </row>
    <row r="20" spans="1:10" ht="15.75" thickBot="1" x14ac:dyDescent="0.3">
      <c r="A20" s="33"/>
      <c r="B20" s="34" t="s">
        <v>24</v>
      </c>
      <c r="C20" s="35"/>
      <c r="D20" s="153">
        <f>SUM(D16:D19)</f>
        <v>25000</v>
      </c>
      <c r="E20" s="35"/>
      <c r="F20" s="62">
        <f>SUM(F16:F19)</f>
        <v>105000</v>
      </c>
      <c r="G20" s="62">
        <f>SUM(G16:G19)</f>
        <v>17850</v>
      </c>
      <c r="H20" s="35"/>
      <c r="I20" s="62">
        <f>SUM(I16:I19)</f>
        <v>122850</v>
      </c>
      <c r="J20" s="37"/>
    </row>
    <row r="21" spans="1:10" ht="15.75" thickTop="1" x14ac:dyDescent="0.25">
      <c r="A21" s="33"/>
      <c r="B21" s="34" t="s">
        <v>2239</v>
      </c>
      <c r="C21" s="35"/>
      <c r="D21" s="35"/>
      <c r="E21" s="35"/>
      <c r="F21" s="35"/>
      <c r="G21" s="35"/>
      <c r="H21" s="35"/>
      <c r="I21" s="35"/>
      <c r="J21" s="37"/>
    </row>
    <row r="22" spans="1:10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</row>
    <row r="23" spans="1:10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</row>
    <row r="24" spans="1:10" x14ac:dyDescent="0.25">
      <c r="B24" t="s">
        <v>634</v>
      </c>
    </row>
    <row r="27" spans="1:10" x14ac:dyDescent="0.25">
      <c r="B27" t="s">
        <v>28</v>
      </c>
      <c r="H27" t="s">
        <v>28</v>
      </c>
    </row>
    <row r="28" spans="1:10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0DD8A78E-90FF-4E51-A88A-2FD6F084185D}"/>
  </hyperlinks>
  <pageMargins left="0.2" right="0.1" top="0.25" bottom="0.25" header="0.3" footer="0.3"/>
  <pageSetup paperSize="9" orientation="portrait" r:id="rId2"/>
  <drawing r:id="rId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J26"/>
  <sheetViews>
    <sheetView topLeftCell="A6" workbookViewId="0">
      <selection activeCell="A8" sqref="A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234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233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108</v>
      </c>
      <c r="C16" s="24" t="s">
        <v>56</v>
      </c>
      <c r="D16" s="25">
        <v>20</v>
      </c>
      <c r="E16" s="26">
        <f>380/117*100</f>
        <v>324.78632478632477</v>
      </c>
      <c r="F16" s="27">
        <f>D16*E16</f>
        <v>6495.7264957264952</v>
      </c>
      <c r="G16" s="27">
        <f>F16*0.17</f>
        <v>1104.2735042735042</v>
      </c>
      <c r="H16" s="39">
        <f>E16*1.17</f>
        <v>379.99999999999994</v>
      </c>
      <c r="I16" s="27">
        <f>H16*D16</f>
        <v>7599.9999999999991</v>
      </c>
      <c r="J16" s="28"/>
    </row>
    <row r="17" spans="1:10" s="21" customFormat="1" ht="25.5" x14ac:dyDescent="0.25">
      <c r="A17" s="22">
        <v>1</v>
      </c>
      <c r="B17" s="23" t="s">
        <v>216</v>
      </c>
      <c r="C17" s="24" t="s">
        <v>56</v>
      </c>
      <c r="D17" s="25">
        <v>2</v>
      </c>
      <c r="E17" s="26">
        <f>400/117*100</f>
        <v>341.88034188034186</v>
      </c>
      <c r="F17" s="27">
        <f>D17*E17</f>
        <v>683.76068376068372</v>
      </c>
      <c r="G17" s="27">
        <f>F17*0.17</f>
        <v>116.23931623931624</v>
      </c>
      <c r="H17" s="39">
        <f>E17*1.17</f>
        <v>399.99999999999994</v>
      </c>
      <c r="I17" s="27">
        <f>H17*D17</f>
        <v>799.99999999999989</v>
      </c>
      <c r="J17" s="28"/>
    </row>
    <row r="18" spans="1:10" s="21" customFormat="1" x14ac:dyDescent="0.25">
      <c r="A18" s="29"/>
      <c r="B18" s="30"/>
      <c r="C18" s="31"/>
      <c r="D18" s="25"/>
      <c r="E18" s="26"/>
      <c r="F18" s="32"/>
      <c r="G18" s="32"/>
      <c r="H18" s="26"/>
      <c r="I18" s="32"/>
      <c r="J18" s="28"/>
    </row>
    <row r="19" spans="1:10" ht="15.75" thickBot="1" x14ac:dyDescent="0.3">
      <c r="A19" s="33"/>
      <c r="B19" s="34" t="s">
        <v>24</v>
      </c>
      <c r="C19" s="35"/>
      <c r="D19" s="36">
        <f>SUM(D16:D17)</f>
        <v>22</v>
      </c>
      <c r="E19" s="35"/>
      <c r="F19" s="36">
        <f>SUM(F16:F17)</f>
        <v>7179.4871794871788</v>
      </c>
      <c r="G19" s="36">
        <f>SUM(G16:G17)</f>
        <v>1220.5128205128203</v>
      </c>
      <c r="H19" s="35"/>
      <c r="I19" s="36">
        <f>SUM(I16:I17)</f>
        <v>8399.9999999999982</v>
      </c>
      <c r="J19" s="37"/>
    </row>
    <row r="20" spans="1:10" ht="15.75" thickTop="1" x14ac:dyDescent="0.25">
      <c r="A20" s="33"/>
      <c r="B20" s="34" t="s">
        <v>235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27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mergeCells count="5">
    <mergeCell ref="A6:J6"/>
    <mergeCell ref="I7:J7"/>
    <mergeCell ref="I8:J8"/>
    <mergeCell ref="I9:J9"/>
    <mergeCell ref="B22:J22"/>
  </mergeCells>
  <hyperlinks>
    <hyperlink ref="H5" r:id="rId1" xr:uid="{00000000-0004-0000-4D00-000000000000}"/>
  </hyperlinks>
  <pageMargins left="0.2" right="0.1" top="0.25" bottom="0.25" header="0.3" footer="0.3"/>
  <pageSetup paperSize="9" orientation="portrait" r:id="rId2"/>
  <drawing r:id="rId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J26"/>
  <sheetViews>
    <sheetView workbookViewId="0">
      <selection activeCell="B17" sqref="B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228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227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229</v>
      </c>
      <c r="J9" s="188"/>
    </row>
    <row r="10" spans="1:10" x14ac:dyDescent="0.25">
      <c r="B10" t="s">
        <v>9</v>
      </c>
      <c r="C10" s="10" t="s">
        <v>134</v>
      </c>
      <c r="D10" s="10"/>
      <c r="E10" s="10"/>
      <c r="F10" s="10"/>
    </row>
    <row r="11" spans="1:10" x14ac:dyDescent="0.25">
      <c r="B11" t="s">
        <v>11</v>
      </c>
      <c r="C11" s="10" t="s">
        <v>135</v>
      </c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 t="s">
        <v>137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230</v>
      </c>
      <c r="C16" s="24" t="s">
        <v>23</v>
      </c>
      <c r="D16" s="25">
        <v>1</v>
      </c>
      <c r="E16" s="40">
        <f>4522/117*100</f>
        <v>3864.9572649572647</v>
      </c>
      <c r="F16" s="27">
        <f t="shared" ref="F16:F17" si="0">D16*E16</f>
        <v>3864.9572649572647</v>
      </c>
      <c r="G16" s="27">
        <f>F16*0.17</f>
        <v>657.04273504273499</v>
      </c>
      <c r="H16" s="39">
        <f>E16*1.17</f>
        <v>4521.9999999999991</v>
      </c>
      <c r="I16" s="27">
        <f t="shared" ref="I16:I17" si="1">H16*D16</f>
        <v>4521.9999999999991</v>
      </c>
      <c r="J16" s="28"/>
    </row>
    <row r="17" spans="1:10" s="21" customFormat="1" x14ac:dyDescent="0.25">
      <c r="A17" s="22">
        <v>2</v>
      </c>
      <c r="B17" s="23" t="s">
        <v>231</v>
      </c>
      <c r="C17" s="24" t="s">
        <v>23</v>
      </c>
      <c r="D17" s="25">
        <v>2</v>
      </c>
      <c r="E17" s="40">
        <f>2975/117*100</f>
        <v>2542.7350427350425</v>
      </c>
      <c r="F17" s="27">
        <f t="shared" si="0"/>
        <v>5085.470085470085</v>
      </c>
      <c r="G17" s="27">
        <f t="shared" ref="G17" si="2">F17*0.17</f>
        <v>864.52991452991455</v>
      </c>
      <c r="H17" s="39">
        <f t="shared" ref="H17" si="3">E17*1.17</f>
        <v>2974.9999999999995</v>
      </c>
      <c r="I17" s="27">
        <f t="shared" si="1"/>
        <v>5949.9999999999991</v>
      </c>
      <c r="J17" s="28"/>
    </row>
    <row r="18" spans="1:10" s="21" customFormat="1" x14ac:dyDescent="0.25">
      <c r="A18" s="29"/>
      <c r="B18" s="30"/>
      <c r="C18" s="31"/>
      <c r="D18" s="25"/>
      <c r="E18" s="26"/>
      <c r="F18" s="32"/>
      <c r="G18" s="32"/>
      <c r="H18" s="26"/>
      <c r="I18" s="32"/>
      <c r="J18" s="28"/>
    </row>
    <row r="19" spans="1:10" ht="15.75" thickBot="1" x14ac:dyDescent="0.3">
      <c r="A19" s="33"/>
      <c r="B19" s="34" t="s">
        <v>24</v>
      </c>
      <c r="C19" s="35"/>
      <c r="D19" s="36">
        <f>SUM(D16:D17)</f>
        <v>3</v>
      </c>
      <c r="E19" s="35"/>
      <c r="F19" s="36">
        <f>SUM(F16:F17)</f>
        <v>8950.4273504273497</v>
      </c>
      <c r="G19" s="36">
        <f>SUM(G16:G17)</f>
        <v>1521.5726495726494</v>
      </c>
      <c r="H19" s="35"/>
      <c r="I19" s="36">
        <f>SUM(I16:I17)</f>
        <v>10471.999999999998</v>
      </c>
      <c r="J19" s="37"/>
    </row>
    <row r="20" spans="1:10" ht="15.75" thickTop="1" x14ac:dyDescent="0.25">
      <c r="A20" s="33"/>
      <c r="B20" s="34" t="s">
        <v>232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27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mergeCells count="5">
    <mergeCell ref="A6:J6"/>
    <mergeCell ref="I7:J7"/>
    <mergeCell ref="I8:J8"/>
    <mergeCell ref="I9:J9"/>
    <mergeCell ref="B22:J22"/>
  </mergeCells>
  <hyperlinks>
    <hyperlink ref="H5" r:id="rId1" xr:uid="{00000000-0004-0000-4E00-000000000000}"/>
  </hyperlinks>
  <pageMargins left="0.2" right="0.1" top="0.25" bottom="0.25" header="0.3" footer="0.3"/>
  <pageSetup paperSize="9" orientation="portrait" r:id="rId2"/>
  <drawing r:id="rId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25"/>
  <sheetViews>
    <sheetView workbookViewId="0">
      <selection activeCell="B1" sqref="B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224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223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225</v>
      </c>
      <c r="C16" s="24" t="s">
        <v>23</v>
      </c>
      <c r="D16" s="25">
        <v>1</v>
      </c>
      <c r="E16" s="26">
        <v>1500</v>
      </c>
      <c r="F16" s="27">
        <f t="shared" ref="F16" si="0">D16*E16</f>
        <v>1500</v>
      </c>
      <c r="G16" s="27">
        <f t="shared" ref="G16" si="1">F16*0.17</f>
        <v>255.00000000000003</v>
      </c>
      <c r="H16" s="39">
        <f>E16*1.17</f>
        <v>1755</v>
      </c>
      <c r="I16" s="27">
        <f t="shared" ref="I16" si="2">H16*D16</f>
        <v>1755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1</v>
      </c>
      <c r="E18" s="35"/>
      <c r="F18" s="36">
        <f>SUM(F16:F16)</f>
        <v>1500</v>
      </c>
      <c r="G18" s="36">
        <f>SUM(G16:G16)</f>
        <v>255.00000000000003</v>
      </c>
      <c r="H18" s="35"/>
      <c r="I18" s="36">
        <f>SUM(I16:I16)</f>
        <v>1755</v>
      </c>
      <c r="J18" s="37"/>
    </row>
    <row r="19" spans="1:10" ht="15.75" thickTop="1" x14ac:dyDescent="0.25">
      <c r="A19" s="33"/>
      <c r="B19" s="34" t="s">
        <v>226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4F00-000000000000}"/>
  </hyperlinks>
  <pageMargins left="0.2" right="0.1" top="0.25" bottom="0.25" header="0.3" footer="0.3"/>
  <pageSetup paperSize="9" orientation="portrait" r:id="rId2"/>
  <drawing r:id="rId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J25"/>
  <sheetViews>
    <sheetView workbookViewId="0">
      <selection activeCell="A12" sqref="A1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219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220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221</v>
      </c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67</v>
      </c>
      <c r="C16" s="24" t="s">
        <v>76</v>
      </c>
      <c r="D16" s="25">
        <v>50</v>
      </c>
      <c r="E16" s="26">
        <v>66</v>
      </c>
      <c r="F16" s="27">
        <f t="shared" ref="F16" si="0">D16*E16</f>
        <v>3300</v>
      </c>
      <c r="G16" s="27">
        <f t="shared" ref="G16" si="1">F16*0.17</f>
        <v>561</v>
      </c>
      <c r="H16" s="39">
        <f>E16*1.17</f>
        <v>77.22</v>
      </c>
      <c r="I16" s="27">
        <f t="shared" ref="I16" si="2">H16*D16</f>
        <v>3861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50</v>
      </c>
      <c r="E18" s="35"/>
      <c r="F18" s="36">
        <f>SUM(F16:F16)</f>
        <v>3300</v>
      </c>
      <c r="G18" s="36">
        <f>SUM(G16:G16)</f>
        <v>561</v>
      </c>
      <c r="H18" s="35"/>
      <c r="I18" s="36">
        <f>SUM(I16:I16)</f>
        <v>3861</v>
      </c>
      <c r="J18" s="37"/>
    </row>
    <row r="19" spans="1:10" ht="15.75" thickTop="1" x14ac:dyDescent="0.25">
      <c r="A19" s="33"/>
      <c r="B19" s="34" t="s">
        <v>222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5000-000000000000}"/>
  </hyperlinks>
  <pageMargins left="0.2" right="0.1" top="0.25" bottom="0.25" header="0.3" footer="0.3"/>
  <pageSetup paperSize="9" orientation="portrait" r:id="rId2"/>
  <drawing r:id="rId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J34"/>
  <sheetViews>
    <sheetView workbookViewId="0">
      <selection activeCell="F19" sqref="F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195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207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208</v>
      </c>
      <c r="C16" s="24" t="s">
        <v>76</v>
      </c>
      <c r="D16" s="25">
        <v>20</v>
      </c>
      <c r="E16" s="26">
        <v>60</v>
      </c>
      <c r="F16" s="27">
        <f t="shared" ref="F16:F24" si="0">D16*E16</f>
        <v>1200</v>
      </c>
      <c r="G16" s="27">
        <f>F16*0</f>
        <v>0</v>
      </c>
      <c r="H16" s="39">
        <f>E16*1</f>
        <v>60</v>
      </c>
      <c r="I16" s="27">
        <f t="shared" ref="I16:I24" si="1">H16*D16</f>
        <v>1200</v>
      </c>
      <c r="J16" s="28"/>
    </row>
    <row r="17" spans="1:10" s="21" customFormat="1" x14ac:dyDescent="0.25">
      <c r="A17" s="22">
        <v>2</v>
      </c>
      <c r="B17" s="23" t="s">
        <v>215</v>
      </c>
      <c r="C17" s="24" t="s">
        <v>23</v>
      </c>
      <c r="D17" s="25">
        <v>12</v>
      </c>
      <c r="E17" s="26">
        <f>231.66/117*100</f>
        <v>198</v>
      </c>
      <c r="F17" s="41">
        <f t="shared" si="0"/>
        <v>2376</v>
      </c>
      <c r="G17" s="27">
        <f t="shared" ref="G17:G24" si="2">F17*0.17</f>
        <v>403.92</v>
      </c>
      <c r="H17" s="39">
        <f>E17*1.17</f>
        <v>231.66</v>
      </c>
      <c r="I17" s="27">
        <f t="shared" si="1"/>
        <v>2779.92</v>
      </c>
      <c r="J17" s="28"/>
    </row>
    <row r="18" spans="1:10" s="21" customFormat="1" x14ac:dyDescent="0.25">
      <c r="A18" s="22">
        <v>3</v>
      </c>
      <c r="B18" s="23" t="s">
        <v>40</v>
      </c>
      <c r="C18" s="24" t="s">
        <v>165</v>
      </c>
      <c r="D18" s="25">
        <v>18</v>
      </c>
      <c r="E18" s="26">
        <v>90</v>
      </c>
      <c r="F18" s="41">
        <f t="shared" si="0"/>
        <v>1620</v>
      </c>
      <c r="G18" s="27">
        <f t="shared" si="2"/>
        <v>275.40000000000003</v>
      </c>
      <c r="H18" s="39">
        <f t="shared" ref="H18:H23" si="3">E18*1.17</f>
        <v>105.3</v>
      </c>
      <c r="I18" s="27">
        <f t="shared" si="1"/>
        <v>1895.3999999999999</v>
      </c>
      <c r="J18" s="28"/>
    </row>
    <row r="19" spans="1:10" s="21" customFormat="1" x14ac:dyDescent="0.25">
      <c r="A19" s="22">
        <v>4</v>
      </c>
      <c r="B19" s="23" t="s">
        <v>209</v>
      </c>
      <c r="C19" s="24" t="s">
        <v>165</v>
      </c>
      <c r="D19" s="25">
        <v>2</v>
      </c>
      <c r="E19" s="26">
        <v>440</v>
      </c>
      <c r="F19" s="41">
        <f t="shared" ref="F19:F20" si="4">D19*E19</f>
        <v>880</v>
      </c>
      <c r="G19" s="27">
        <f t="shared" ref="G19:G20" si="5">F19*0.17</f>
        <v>149.60000000000002</v>
      </c>
      <c r="H19" s="39">
        <f t="shared" ref="H19:H20" si="6">E19*1.17</f>
        <v>514.79999999999995</v>
      </c>
      <c r="I19" s="27">
        <f t="shared" ref="I19:I20" si="7">H19*D19</f>
        <v>1029.5999999999999</v>
      </c>
      <c r="J19" s="28"/>
    </row>
    <row r="20" spans="1:10" s="21" customFormat="1" x14ac:dyDescent="0.25">
      <c r="A20" s="22">
        <v>5</v>
      </c>
      <c r="B20" s="23" t="s">
        <v>210</v>
      </c>
      <c r="C20" s="24" t="s">
        <v>76</v>
      </c>
      <c r="D20" s="25">
        <v>10</v>
      </c>
      <c r="E20" s="26">
        <v>42</v>
      </c>
      <c r="F20" s="41">
        <f t="shared" si="4"/>
        <v>420</v>
      </c>
      <c r="G20" s="27">
        <f t="shared" si="5"/>
        <v>71.400000000000006</v>
      </c>
      <c r="H20" s="39">
        <f t="shared" si="6"/>
        <v>49.14</v>
      </c>
      <c r="I20" s="27">
        <f t="shared" si="7"/>
        <v>491.4</v>
      </c>
      <c r="J20" s="28"/>
    </row>
    <row r="21" spans="1:10" s="21" customFormat="1" x14ac:dyDescent="0.25">
      <c r="A21" s="22">
        <v>6</v>
      </c>
      <c r="B21" s="23" t="s">
        <v>211</v>
      </c>
      <c r="C21" s="24" t="s">
        <v>23</v>
      </c>
      <c r="D21" s="25">
        <v>24</v>
      </c>
      <c r="E21" s="26">
        <v>40</v>
      </c>
      <c r="F21" s="41">
        <f t="shared" ref="F21:F22" si="8">D21*E21</f>
        <v>960</v>
      </c>
      <c r="G21" s="27">
        <f t="shared" ref="G21:G22" si="9">F21*0.17</f>
        <v>163.20000000000002</v>
      </c>
      <c r="H21" s="39">
        <f t="shared" ref="H21:H22" si="10">E21*1.17</f>
        <v>46.8</v>
      </c>
      <c r="I21" s="27">
        <f t="shared" ref="I21:I22" si="11">H21*D21</f>
        <v>1123.1999999999998</v>
      </c>
      <c r="J21" s="28"/>
    </row>
    <row r="22" spans="1:10" s="21" customFormat="1" x14ac:dyDescent="0.25">
      <c r="A22" s="22">
        <v>7</v>
      </c>
      <c r="B22" s="23" t="s">
        <v>212</v>
      </c>
      <c r="C22" s="24" t="s">
        <v>23</v>
      </c>
      <c r="D22" s="25">
        <v>20</v>
      </c>
      <c r="E22" s="26">
        <v>95</v>
      </c>
      <c r="F22" s="41">
        <f t="shared" si="8"/>
        <v>1900</v>
      </c>
      <c r="G22" s="27">
        <f t="shared" si="9"/>
        <v>323</v>
      </c>
      <c r="H22" s="39">
        <f t="shared" si="10"/>
        <v>111.14999999999999</v>
      </c>
      <c r="I22" s="27">
        <f t="shared" si="11"/>
        <v>2223</v>
      </c>
      <c r="J22" s="28"/>
    </row>
    <row r="23" spans="1:10" s="21" customFormat="1" x14ac:dyDescent="0.25">
      <c r="A23" s="22">
        <v>8</v>
      </c>
      <c r="B23" s="23" t="s">
        <v>67</v>
      </c>
      <c r="C23" s="24" t="s">
        <v>23</v>
      </c>
      <c r="D23" s="25">
        <v>50</v>
      </c>
      <c r="E23" s="26">
        <f>81.9/117*100</f>
        <v>70</v>
      </c>
      <c r="F23" s="41">
        <f t="shared" si="0"/>
        <v>3500</v>
      </c>
      <c r="G23" s="27">
        <f t="shared" si="2"/>
        <v>595</v>
      </c>
      <c r="H23" s="39">
        <f t="shared" si="3"/>
        <v>81.899999999999991</v>
      </c>
      <c r="I23" s="27">
        <f t="shared" si="1"/>
        <v>4094.9999999999995</v>
      </c>
      <c r="J23" s="28"/>
    </row>
    <row r="24" spans="1:10" s="21" customFormat="1" x14ac:dyDescent="0.25">
      <c r="A24" s="22">
        <v>9</v>
      </c>
      <c r="B24" s="23" t="s">
        <v>213</v>
      </c>
      <c r="C24" s="24" t="s">
        <v>165</v>
      </c>
      <c r="D24" s="25">
        <v>1</v>
      </c>
      <c r="E24" s="26">
        <f>673.92/117*100</f>
        <v>576</v>
      </c>
      <c r="F24" s="41">
        <f t="shared" si="0"/>
        <v>576</v>
      </c>
      <c r="G24" s="27">
        <f t="shared" si="2"/>
        <v>97.92</v>
      </c>
      <c r="H24" s="39">
        <f>E24*1.165</f>
        <v>671.04</v>
      </c>
      <c r="I24" s="27">
        <f t="shared" si="1"/>
        <v>671.04</v>
      </c>
      <c r="J24" s="28"/>
    </row>
    <row r="25" spans="1:10" s="21" customFormat="1" x14ac:dyDescent="0.25">
      <c r="A25" s="22">
        <v>10</v>
      </c>
      <c r="B25" s="23" t="s">
        <v>214</v>
      </c>
      <c r="C25" s="24" t="s">
        <v>23</v>
      </c>
      <c r="D25" s="25">
        <v>6</v>
      </c>
      <c r="E25" s="26">
        <v>60</v>
      </c>
      <c r="F25" s="41">
        <f t="shared" ref="F25" si="12">D25*E25</f>
        <v>360</v>
      </c>
      <c r="G25" s="27">
        <f t="shared" ref="G25" si="13">F25*0.17</f>
        <v>61.2</v>
      </c>
      <c r="H25" s="39">
        <f t="shared" ref="H25" si="14">E25*1.17</f>
        <v>70.199999999999989</v>
      </c>
      <c r="I25" s="27">
        <f t="shared" ref="I25" si="15">H25*D25</f>
        <v>421.19999999999993</v>
      </c>
      <c r="J25" s="28"/>
    </row>
    <row r="26" spans="1:10" s="21" customFormat="1" x14ac:dyDescent="0.25">
      <c r="A26" s="29"/>
      <c r="B26" s="30"/>
      <c r="C26" s="31"/>
      <c r="D26" s="25"/>
      <c r="E26" s="26"/>
      <c r="F26" s="32"/>
      <c r="G26" s="32"/>
      <c r="H26" s="26"/>
      <c r="I26" s="32"/>
      <c r="J26" s="28"/>
    </row>
    <row r="27" spans="1:10" ht="15.75" thickBot="1" x14ac:dyDescent="0.3">
      <c r="A27" s="33"/>
      <c r="B27" s="34" t="s">
        <v>24</v>
      </c>
      <c r="C27" s="35"/>
      <c r="D27" s="36">
        <f>SUM(D16:D25)</f>
        <v>163</v>
      </c>
      <c r="E27" s="35"/>
      <c r="F27" s="36">
        <f t="shared" ref="F27:G27" si="16">SUM(F16:F25)</f>
        <v>13792</v>
      </c>
      <c r="G27" s="36">
        <f t="shared" si="16"/>
        <v>2140.64</v>
      </c>
      <c r="H27" s="35"/>
      <c r="I27" s="36">
        <f>SUM(I16:I25)</f>
        <v>15929.760000000002</v>
      </c>
      <c r="J27" s="37"/>
    </row>
    <row r="28" spans="1:10" ht="15.75" thickTop="1" x14ac:dyDescent="0.25">
      <c r="A28" s="33"/>
      <c r="B28" s="34" t="s">
        <v>218</v>
      </c>
      <c r="C28" s="35"/>
      <c r="D28" s="35"/>
      <c r="E28" s="35"/>
      <c r="F28" s="35"/>
      <c r="G28" s="35"/>
      <c r="H28" s="35"/>
      <c r="I28" s="35"/>
      <c r="J28" s="37"/>
    </row>
    <row r="29" spans="1:10" x14ac:dyDescent="0.25">
      <c r="A29" s="33"/>
      <c r="B29" s="38" t="s">
        <v>25</v>
      </c>
      <c r="C29" s="35"/>
      <c r="D29" s="35"/>
      <c r="E29" s="35"/>
      <c r="F29" s="35"/>
      <c r="G29" s="35"/>
      <c r="H29" s="35"/>
      <c r="I29" s="35"/>
      <c r="J29" s="37"/>
    </row>
    <row r="30" spans="1:10" ht="30" customHeight="1" x14ac:dyDescent="0.25">
      <c r="B30" s="183" t="s">
        <v>26</v>
      </c>
      <c r="C30" s="183"/>
      <c r="D30" s="183"/>
      <c r="E30" s="183"/>
      <c r="F30" s="183"/>
      <c r="G30" s="183"/>
      <c r="H30" s="183"/>
      <c r="I30" s="183"/>
      <c r="J30" s="183"/>
    </row>
    <row r="31" spans="1:10" x14ac:dyDescent="0.25">
      <c r="B31" t="s">
        <v>27</v>
      </c>
    </row>
    <row r="33" spans="2:8" x14ac:dyDescent="0.25">
      <c r="B33" t="s">
        <v>28</v>
      </c>
      <c r="H33" t="s">
        <v>28</v>
      </c>
    </row>
    <row r="34" spans="2:8" x14ac:dyDescent="0.25">
      <c r="B34" t="s">
        <v>29</v>
      </c>
      <c r="H34" t="s">
        <v>30</v>
      </c>
    </row>
  </sheetData>
  <mergeCells count="5">
    <mergeCell ref="A6:J6"/>
    <mergeCell ref="I7:J7"/>
    <mergeCell ref="I8:J8"/>
    <mergeCell ref="I9:J9"/>
    <mergeCell ref="B30:J30"/>
  </mergeCells>
  <hyperlinks>
    <hyperlink ref="H5" r:id="rId1" xr:uid="{00000000-0004-0000-5100-000000000000}"/>
  </hyperlinks>
  <pageMargins left="0.2" right="0.1" top="0.25" bottom="0.25" header="0.3" footer="0.3"/>
  <pageSetup paperSize="9" orientation="portrait" r:id="rId2"/>
  <drawing r:id="rId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J27"/>
  <sheetViews>
    <sheetView topLeftCell="A6" workbookViewId="0">
      <selection activeCell="B20" sqref="B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195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201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202</v>
      </c>
      <c r="J9" s="188"/>
    </row>
    <row r="10" spans="1:10" x14ac:dyDescent="0.25">
      <c r="B10" t="s">
        <v>9</v>
      </c>
      <c r="C10" s="10" t="s">
        <v>134</v>
      </c>
      <c r="D10" s="10"/>
      <c r="E10" s="10"/>
      <c r="F10" s="10"/>
    </row>
    <row r="11" spans="1:10" x14ac:dyDescent="0.25">
      <c r="B11" t="s">
        <v>11</v>
      </c>
      <c r="C11" s="10" t="s">
        <v>135</v>
      </c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 t="s">
        <v>137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203</v>
      </c>
      <c r="C16" s="24" t="s">
        <v>76</v>
      </c>
      <c r="D16" s="25">
        <v>6</v>
      </c>
      <c r="E16" s="40">
        <f>105.3/117*100</f>
        <v>90</v>
      </c>
      <c r="F16" s="27">
        <f t="shared" ref="F16:F18" si="0">D16*E16</f>
        <v>540</v>
      </c>
      <c r="G16" s="27">
        <f>F16*0.17</f>
        <v>91.800000000000011</v>
      </c>
      <c r="H16" s="39">
        <f>E16*1.17</f>
        <v>105.3</v>
      </c>
      <c r="I16" s="27">
        <f t="shared" ref="I16:I18" si="1">H16*D16</f>
        <v>631.79999999999995</v>
      </c>
      <c r="J16" s="28"/>
    </row>
    <row r="17" spans="1:10" s="21" customFormat="1" x14ac:dyDescent="0.25">
      <c r="A17" s="22">
        <v>2</v>
      </c>
      <c r="B17" s="23" t="s">
        <v>204</v>
      </c>
      <c r="C17" s="24" t="s">
        <v>192</v>
      </c>
      <c r="D17" s="25">
        <v>2</v>
      </c>
      <c r="E17" s="40">
        <f>347.1/117*100</f>
        <v>296.66666666666669</v>
      </c>
      <c r="F17" s="27">
        <f t="shared" ref="F17" si="2">D17*E17</f>
        <v>593.33333333333337</v>
      </c>
      <c r="G17" s="27">
        <f t="shared" ref="G17" si="3">F17*0.17</f>
        <v>100.86666666666667</v>
      </c>
      <c r="H17" s="39">
        <f t="shared" ref="H17" si="4">E17*1.17</f>
        <v>347.1</v>
      </c>
      <c r="I17" s="27">
        <f t="shared" ref="I17" si="5">H17*D17</f>
        <v>694.2</v>
      </c>
      <c r="J17" s="28"/>
    </row>
    <row r="18" spans="1:10" s="21" customFormat="1" x14ac:dyDescent="0.25">
      <c r="A18" s="22">
        <v>3</v>
      </c>
      <c r="B18" s="23" t="s">
        <v>205</v>
      </c>
      <c r="C18" s="24" t="s">
        <v>192</v>
      </c>
      <c r="D18" s="25">
        <v>3</v>
      </c>
      <c r="E18" s="40">
        <f>140.4/117*100</f>
        <v>120</v>
      </c>
      <c r="F18" s="27">
        <f t="shared" si="0"/>
        <v>360</v>
      </c>
      <c r="G18" s="27">
        <f t="shared" ref="G18" si="6">F18*0.17</f>
        <v>61.2</v>
      </c>
      <c r="H18" s="39">
        <f t="shared" ref="H18" si="7">E18*1.17</f>
        <v>140.39999999999998</v>
      </c>
      <c r="I18" s="27">
        <f t="shared" si="1"/>
        <v>421.19999999999993</v>
      </c>
      <c r="J18" s="28"/>
    </row>
    <row r="19" spans="1:10" s="21" customFormat="1" x14ac:dyDescent="0.25">
      <c r="A19" s="29"/>
      <c r="B19" s="30"/>
      <c r="C19" s="31"/>
      <c r="D19" s="25"/>
      <c r="E19" s="26"/>
      <c r="F19" s="32"/>
      <c r="G19" s="32"/>
      <c r="H19" s="26"/>
      <c r="I19" s="32"/>
      <c r="J19" s="28"/>
    </row>
    <row r="20" spans="1:10" ht="15.75" thickBot="1" x14ac:dyDescent="0.3">
      <c r="A20" s="33"/>
      <c r="B20" s="34" t="s">
        <v>24</v>
      </c>
      <c r="C20" s="35"/>
      <c r="D20" s="36">
        <f>SUM(D16:D18)</f>
        <v>11</v>
      </c>
      <c r="E20" s="35"/>
      <c r="F20" s="36">
        <f>SUM(F16:F18)</f>
        <v>1493.3333333333335</v>
      </c>
      <c r="G20" s="36">
        <f>SUM(G16:G18)</f>
        <v>253.86666666666667</v>
      </c>
      <c r="H20" s="35"/>
      <c r="I20" s="36">
        <f>SUM(I16:I18)</f>
        <v>1747.1999999999998</v>
      </c>
      <c r="J20" s="37"/>
    </row>
    <row r="21" spans="1:10" ht="15.75" thickTop="1" x14ac:dyDescent="0.25">
      <c r="A21" s="33"/>
      <c r="B21" s="34" t="s">
        <v>206</v>
      </c>
      <c r="C21" s="35"/>
      <c r="D21" s="35"/>
      <c r="E21" s="35"/>
      <c r="F21" s="35"/>
      <c r="G21" s="35"/>
      <c r="H21" s="35"/>
      <c r="I21" s="35"/>
      <c r="J21" s="37"/>
    </row>
    <row r="22" spans="1:10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</row>
    <row r="23" spans="1:10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</row>
    <row r="24" spans="1:10" x14ac:dyDescent="0.25">
      <c r="B24" t="s">
        <v>27</v>
      </c>
    </row>
    <row r="26" spans="1:10" x14ac:dyDescent="0.25">
      <c r="B26" t="s">
        <v>28</v>
      </c>
      <c r="H26" t="s">
        <v>28</v>
      </c>
    </row>
    <row r="27" spans="1:10" x14ac:dyDescent="0.25">
      <c r="B27" t="s">
        <v>29</v>
      </c>
      <c r="H27" t="s">
        <v>30</v>
      </c>
    </row>
  </sheetData>
  <mergeCells count="5">
    <mergeCell ref="A6:J6"/>
    <mergeCell ref="I7:J7"/>
    <mergeCell ref="I8:J8"/>
    <mergeCell ref="I9:J9"/>
    <mergeCell ref="B23:J23"/>
  </mergeCells>
  <hyperlinks>
    <hyperlink ref="H5" r:id="rId1" xr:uid="{00000000-0004-0000-5200-000000000000}"/>
  </hyperlinks>
  <pageMargins left="0.2" right="0.1" top="0.25" bottom="0.25" header="0.3" footer="0.3"/>
  <pageSetup paperSize="9" orientation="portrait" r:id="rId2"/>
  <drawing r:id="rId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J26"/>
  <sheetViews>
    <sheetView topLeftCell="A6" workbookViewId="0">
      <selection activeCell="B21" sqref="B2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195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199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108</v>
      </c>
      <c r="C16" s="24" t="s">
        <v>56</v>
      </c>
      <c r="D16" s="25">
        <v>20</v>
      </c>
      <c r="E16" s="26">
        <f>380/117*100</f>
        <v>324.78632478632477</v>
      </c>
      <c r="F16" s="27">
        <f>D16*E16</f>
        <v>6495.7264957264952</v>
      </c>
      <c r="G16" s="27">
        <f>F16*0.17</f>
        <v>1104.2735042735042</v>
      </c>
      <c r="H16" s="39">
        <f>E16*1.17</f>
        <v>379.99999999999994</v>
      </c>
      <c r="I16" s="27">
        <f>H16*D16</f>
        <v>7599.9999999999991</v>
      </c>
      <c r="J16" s="28"/>
    </row>
    <row r="17" spans="1:10" s="21" customFormat="1" ht="25.5" x14ac:dyDescent="0.25">
      <c r="A17" s="22">
        <v>1</v>
      </c>
      <c r="B17" s="23" t="s">
        <v>216</v>
      </c>
      <c r="C17" s="24" t="s">
        <v>56</v>
      </c>
      <c r="D17" s="25">
        <v>1</v>
      </c>
      <c r="E17" s="26">
        <f>400/117*100</f>
        <v>341.88034188034186</v>
      </c>
      <c r="F17" s="27">
        <f>D17*E17</f>
        <v>341.88034188034186</v>
      </c>
      <c r="G17" s="27">
        <f>F17*0.17</f>
        <v>58.119658119658119</v>
      </c>
      <c r="H17" s="39">
        <f>E17*1.17</f>
        <v>399.99999999999994</v>
      </c>
      <c r="I17" s="27">
        <f>H17*D17</f>
        <v>399.99999999999994</v>
      </c>
      <c r="J17" s="28"/>
    </row>
    <row r="18" spans="1:10" s="21" customFormat="1" x14ac:dyDescent="0.25">
      <c r="A18" s="29"/>
      <c r="B18" s="30"/>
      <c r="C18" s="31"/>
      <c r="D18" s="25"/>
      <c r="E18" s="26"/>
      <c r="F18" s="32"/>
      <c r="G18" s="32"/>
      <c r="H18" s="26"/>
      <c r="I18" s="32"/>
      <c r="J18" s="28"/>
    </row>
    <row r="19" spans="1:10" ht="15.75" thickBot="1" x14ac:dyDescent="0.3">
      <c r="A19" s="33"/>
      <c r="B19" s="34" t="s">
        <v>24</v>
      </c>
      <c r="C19" s="35"/>
      <c r="D19" s="36">
        <f>SUM(D16:D17)</f>
        <v>21</v>
      </c>
      <c r="E19" s="35"/>
      <c r="F19" s="36">
        <f>SUM(F16:F17)</f>
        <v>6837.606837606837</v>
      </c>
      <c r="G19" s="36">
        <f>SUM(G16:G17)</f>
        <v>1162.3931623931624</v>
      </c>
      <c r="H19" s="35"/>
      <c r="I19" s="36">
        <f>SUM(I16:I17)</f>
        <v>7999.9999999999991</v>
      </c>
      <c r="J19" s="37"/>
    </row>
    <row r="20" spans="1:10" ht="15.75" thickTop="1" x14ac:dyDescent="0.25">
      <c r="A20" s="33"/>
      <c r="B20" s="34" t="s">
        <v>217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27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mergeCells count="5">
    <mergeCell ref="A6:J6"/>
    <mergeCell ref="I7:J7"/>
    <mergeCell ref="I8:J8"/>
    <mergeCell ref="I9:J9"/>
    <mergeCell ref="B22:J22"/>
  </mergeCells>
  <hyperlinks>
    <hyperlink ref="H5" r:id="rId1" xr:uid="{00000000-0004-0000-5300-000000000000}"/>
  </hyperlinks>
  <pageMargins left="0.2" right="0.1" top="0.25" bottom="0.25" header="0.3" footer="0.3"/>
  <pageSetup paperSize="9" orientation="portrait" r:id="rId2"/>
  <drawing r:id="rId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J26"/>
  <sheetViews>
    <sheetView workbookViewId="0">
      <selection activeCell="A11" sqref="A1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195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200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187</v>
      </c>
      <c r="J9" s="188"/>
    </row>
    <row r="10" spans="1:10" x14ac:dyDescent="0.25">
      <c r="B10" t="s">
        <v>9</v>
      </c>
      <c r="C10" s="10" t="s">
        <v>134</v>
      </c>
      <c r="D10" s="10"/>
      <c r="E10" s="10"/>
      <c r="F10" s="10"/>
    </row>
    <row r="11" spans="1:10" x14ac:dyDescent="0.25">
      <c r="B11" t="s">
        <v>11</v>
      </c>
      <c r="C11" s="10" t="s">
        <v>135</v>
      </c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 t="s">
        <v>137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196</v>
      </c>
      <c r="C16" s="24" t="s">
        <v>165</v>
      </c>
      <c r="D16" s="25">
        <v>1</v>
      </c>
      <c r="E16" s="40">
        <f>351/117*100</f>
        <v>300</v>
      </c>
      <c r="F16" s="27">
        <f t="shared" ref="F16:F17" si="0">D16*E16</f>
        <v>300</v>
      </c>
      <c r="G16" s="27">
        <f>F16*0.17</f>
        <v>51.000000000000007</v>
      </c>
      <c r="H16" s="39">
        <f>E16*1.17</f>
        <v>351</v>
      </c>
      <c r="I16" s="27">
        <f t="shared" ref="I16:I17" si="1">H16*D16</f>
        <v>351</v>
      </c>
      <c r="J16" s="28"/>
    </row>
    <row r="17" spans="1:10" s="21" customFormat="1" x14ac:dyDescent="0.25">
      <c r="A17" s="22">
        <f>A16+1</f>
        <v>2</v>
      </c>
      <c r="B17" s="23" t="s">
        <v>197</v>
      </c>
      <c r="C17" s="24" t="s">
        <v>23</v>
      </c>
      <c r="D17" s="25">
        <v>1</v>
      </c>
      <c r="E17" s="40">
        <f>702/117*100</f>
        <v>600</v>
      </c>
      <c r="F17" s="27">
        <f t="shared" si="0"/>
        <v>600</v>
      </c>
      <c r="G17" s="27">
        <f t="shared" ref="G17" si="2">F17*0.17</f>
        <v>102.00000000000001</v>
      </c>
      <c r="H17" s="39">
        <f t="shared" ref="H17" si="3">E17*1.17</f>
        <v>702</v>
      </c>
      <c r="I17" s="27">
        <f t="shared" si="1"/>
        <v>702</v>
      </c>
      <c r="J17" s="28"/>
    </row>
    <row r="18" spans="1:10" s="21" customFormat="1" x14ac:dyDescent="0.25">
      <c r="A18" s="29"/>
      <c r="B18" s="30"/>
      <c r="C18" s="31"/>
      <c r="D18" s="25"/>
      <c r="E18" s="26"/>
      <c r="F18" s="32"/>
      <c r="G18" s="32"/>
      <c r="H18" s="26"/>
      <c r="I18" s="32"/>
      <c r="J18" s="28"/>
    </row>
    <row r="19" spans="1:10" ht="15.75" thickBot="1" x14ac:dyDescent="0.3">
      <c r="A19" s="33"/>
      <c r="B19" s="34" t="s">
        <v>24</v>
      </c>
      <c r="C19" s="35"/>
      <c r="D19" s="36">
        <f>SUM(D16:D17)</f>
        <v>2</v>
      </c>
      <c r="E19" s="35"/>
      <c r="F19" s="36">
        <f>SUM(F16:F17)</f>
        <v>900</v>
      </c>
      <c r="G19" s="36">
        <f>SUM(G16:G17)</f>
        <v>153.00000000000003</v>
      </c>
      <c r="H19" s="35"/>
      <c r="I19" s="36">
        <f>SUM(I16:I17)</f>
        <v>1053</v>
      </c>
      <c r="J19" s="37"/>
    </row>
    <row r="20" spans="1:10" ht="15.75" thickTop="1" x14ac:dyDescent="0.25">
      <c r="A20" s="33"/>
      <c r="B20" s="34" t="s">
        <v>198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27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mergeCells count="5">
    <mergeCell ref="A6:J6"/>
    <mergeCell ref="I7:J7"/>
    <mergeCell ref="I8:J8"/>
    <mergeCell ref="I9:J9"/>
    <mergeCell ref="B22:J22"/>
  </mergeCells>
  <hyperlinks>
    <hyperlink ref="H5" r:id="rId1" xr:uid="{00000000-0004-0000-5400-000000000000}"/>
  </hyperlinks>
  <pageMargins left="0.2" right="0.1" top="0.25" bottom="0.25" header="0.3" footer="0.3"/>
  <pageSetup paperSize="9" orientation="portrait" r:id="rId2"/>
  <drawing r:id="rId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J28"/>
  <sheetViews>
    <sheetView topLeftCell="A3" workbookViewId="0">
      <selection activeCell="A19" sqref="A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186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185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187</v>
      </c>
      <c r="J9" s="188"/>
    </row>
    <row r="10" spans="1:10" x14ac:dyDescent="0.25">
      <c r="B10" t="s">
        <v>9</v>
      </c>
      <c r="C10" s="10" t="s">
        <v>134</v>
      </c>
      <c r="D10" s="10"/>
      <c r="E10" s="10"/>
      <c r="F10" s="10"/>
    </row>
    <row r="11" spans="1:10" x14ac:dyDescent="0.25">
      <c r="B11" t="s">
        <v>11</v>
      </c>
      <c r="C11" s="10" t="s">
        <v>135</v>
      </c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 t="s">
        <v>137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188</v>
      </c>
      <c r="C16" s="24" t="s">
        <v>165</v>
      </c>
      <c r="D16" s="25">
        <v>42</v>
      </c>
      <c r="E16" s="40">
        <f>99.45/117*100</f>
        <v>85</v>
      </c>
      <c r="F16" s="27">
        <f t="shared" ref="F16:F19" si="0">D16*E16</f>
        <v>3570</v>
      </c>
      <c r="G16" s="27">
        <f>F16*0.17</f>
        <v>606.90000000000009</v>
      </c>
      <c r="H16" s="39">
        <f>E16*1.17</f>
        <v>99.449999999999989</v>
      </c>
      <c r="I16" s="27">
        <f t="shared" ref="I16:I19" si="1">H16*D16</f>
        <v>4176.8999999999996</v>
      </c>
      <c r="J16" s="28"/>
    </row>
    <row r="17" spans="1:10" s="21" customFormat="1" x14ac:dyDescent="0.25">
      <c r="A17" s="22">
        <f>A16+1</f>
        <v>2</v>
      </c>
      <c r="B17" s="23" t="s">
        <v>189</v>
      </c>
      <c r="C17" s="24" t="s">
        <v>192</v>
      </c>
      <c r="D17" s="25">
        <v>42</v>
      </c>
      <c r="E17" s="40">
        <f>228.15/117*100</f>
        <v>195</v>
      </c>
      <c r="F17" s="27">
        <f t="shared" si="0"/>
        <v>8190</v>
      </c>
      <c r="G17" s="27">
        <f t="shared" ref="G17:G19" si="2">F17*0.17</f>
        <v>1392.3000000000002</v>
      </c>
      <c r="H17" s="39">
        <f t="shared" ref="H17:H19" si="3">E17*1.17</f>
        <v>228.14999999999998</v>
      </c>
      <c r="I17" s="27">
        <f t="shared" si="1"/>
        <v>9582.2999999999993</v>
      </c>
      <c r="J17" s="28"/>
    </row>
    <row r="18" spans="1:10" s="21" customFormat="1" x14ac:dyDescent="0.25">
      <c r="A18" s="22">
        <f t="shared" ref="A18:A19" si="4">A17+1</f>
        <v>3</v>
      </c>
      <c r="B18" s="23" t="s">
        <v>190</v>
      </c>
      <c r="C18" s="24" t="s">
        <v>193</v>
      </c>
      <c r="D18" s="25">
        <v>12</v>
      </c>
      <c r="E18" s="40">
        <f>23.4/117*100</f>
        <v>20</v>
      </c>
      <c r="F18" s="27">
        <f t="shared" si="0"/>
        <v>240</v>
      </c>
      <c r="G18" s="27">
        <f t="shared" si="2"/>
        <v>40.800000000000004</v>
      </c>
      <c r="H18" s="39">
        <f t="shared" si="3"/>
        <v>23.4</v>
      </c>
      <c r="I18" s="27">
        <f t="shared" si="1"/>
        <v>280.79999999999995</v>
      </c>
      <c r="J18" s="28"/>
    </row>
    <row r="19" spans="1:10" s="21" customFormat="1" x14ac:dyDescent="0.25">
      <c r="A19" s="22">
        <f t="shared" si="4"/>
        <v>4</v>
      </c>
      <c r="B19" s="23" t="s">
        <v>191</v>
      </c>
      <c r="C19" s="24" t="s">
        <v>192</v>
      </c>
      <c r="D19" s="25">
        <v>6</v>
      </c>
      <c r="E19" s="40">
        <f>280.8/117*100</f>
        <v>240</v>
      </c>
      <c r="F19" s="27">
        <f t="shared" si="0"/>
        <v>1440</v>
      </c>
      <c r="G19" s="27">
        <f t="shared" si="2"/>
        <v>244.8</v>
      </c>
      <c r="H19" s="39">
        <f t="shared" si="3"/>
        <v>280.79999999999995</v>
      </c>
      <c r="I19" s="27">
        <f t="shared" si="1"/>
        <v>1684.7999999999997</v>
      </c>
      <c r="J19" s="28"/>
    </row>
    <row r="20" spans="1:10" s="21" customFormat="1" x14ac:dyDescent="0.25">
      <c r="A20" s="29"/>
      <c r="B20" s="30"/>
      <c r="C20" s="31"/>
      <c r="D20" s="25"/>
      <c r="E20" s="26"/>
      <c r="F20" s="32"/>
      <c r="G20" s="32"/>
      <c r="H20" s="26"/>
      <c r="I20" s="32"/>
      <c r="J20" s="28"/>
    </row>
    <row r="21" spans="1:10" ht="15.75" thickBot="1" x14ac:dyDescent="0.3">
      <c r="A21" s="33"/>
      <c r="B21" s="34" t="s">
        <v>24</v>
      </c>
      <c r="C21" s="35"/>
      <c r="D21" s="36">
        <f>SUM(D16:D19)</f>
        <v>102</v>
      </c>
      <c r="E21" s="35"/>
      <c r="F21" s="36">
        <f>SUM(F16:F19)</f>
        <v>13440</v>
      </c>
      <c r="G21" s="36">
        <f>SUM(G16:G19)</f>
        <v>2284.8000000000002</v>
      </c>
      <c r="H21" s="35"/>
      <c r="I21" s="36">
        <f>SUM(I16:I19)</f>
        <v>15724.799999999997</v>
      </c>
      <c r="J21" s="37"/>
    </row>
    <row r="22" spans="1:10" ht="15.75" thickTop="1" x14ac:dyDescent="0.25">
      <c r="A22" s="33"/>
      <c r="B22" s="34" t="s">
        <v>194</v>
      </c>
      <c r="C22" s="35"/>
      <c r="D22" s="35"/>
      <c r="E22" s="35"/>
      <c r="F22" s="35"/>
      <c r="G22" s="35"/>
      <c r="H22" s="35"/>
      <c r="I22" s="35"/>
      <c r="J22" s="37"/>
    </row>
    <row r="23" spans="1:10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</row>
    <row r="24" spans="1:10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</row>
    <row r="25" spans="1:10" x14ac:dyDescent="0.25">
      <c r="B25" t="s">
        <v>27</v>
      </c>
    </row>
    <row r="27" spans="1:10" x14ac:dyDescent="0.25">
      <c r="B27" t="s">
        <v>28</v>
      </c>
      <c r="H27" t="s">
        <v>28</v>
      </c>
    </row>
    <row r="28" spans="1:10" x14ac:dyDescent="0.25">
      <c r="B28" t="s">
        <v>29</v>
      </c>
      <c r="H28" t="s">
        <v>30</v>
      </c>
    </row>
  </sheetData>
  <mergeCells count="5">
    <mergeCell ref="A6:J6"/>
    <mergeCell ref="I7:J7"/>
    <mergeCell ref="I8:J8"/>
    <mergeCell ref="I9:J9"/>
    <mergeCell ref="B24:J24"/>
  </mergeCells>
  <hyperlinks>
    <hyperlink ref="H5" r:id="rId1" xr:uid="{00000000-0004-0000-5500-000000000000}"/>
  </hyperlinks>
  <pageMargins left="0.2" right="0.1" top="0.25" bottom="0.25" header="0.3" footer="0.3"/>
  <pageSetup paperSize="9" orientation="portrait" r:id="rId2"/>
  <drawing r:id="rId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J25"/>
  <sheetViews>
    <sheetView topLeftCell="A6" workbookViewId="0">
      <selection activeCell="B16" sqref="B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169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180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181</v>
      </c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183</v>
      </c>
      <c r="C16" s="24" t="s">
        <v>23</v>
      </c>
      <c r="D16" s="25">
        <v>1</v>
      </c>
      <c r="E16" s="26">
        <f>702/117*100</f>
        <v>600</v>
      </c>
      <c r="F16" s="27">
        <f t="shared" ref="F16" si="0">D16*E16</f>
        <v>600</v>
      </c>
      <c r="G16" s="27">
        <f t="shared" ref="G16" si="1">F16*0.17</f>
        <v>102.00000000000001</v>
      </c>
      <c r="H16" s="39">
        <f t="shared" ref="H16" si="2">E16*1.17</f>
        <v>702</v>
      </c>
      <c r="I16" s="27">
        <f t="shared" ref="I16" si="3">H16*D16</f>
        <v>702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1</v>
      </c>
      <c r="E18" s="35"/>
      <c r="F18" s="36">
        <f>SUM(F16:F16)</f>
        <v>600</v>
      </c>
      <c r="G18" s="36">
        <f>SUM(G16:G16)</f>
        <v>102.00000000000001</v>
      </c>
      <c r="H18" s="35"/>
      <c r="I18" s="36">
        <f>SUM(I16:I16)</f>
        <v>702</v>
      </c>
      <c r="J18" s="37"/>
    </row>
    <row r="19" spans="1:10" ht="15.75" thickTop="1" x14ac:dyDescent="0.25">
      <c r="A19" s="33"/>
      <c r="B19" s="34" t="s">
        <v>184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5600-000000000000}"/>
  </hyperlinks>
  <pageMargins left="0.2" right="0.1" top="0.25" bottom="0.25" header="0.3" footer="0.3"/>
  <pageSetup paperSize="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0AE79-5AAA-4BBE-A334-0D25C4E0B156}">
  <dimension ref="A1:J25"/>
  <sheetViews>
    <sheetView workbookViewId="0">
      <selection activeCell="C14" sqref="C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2234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2233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1838</v>
      </c>
      <c r="D10" s="10"/>
      <c r="E10" s="10"/>
      <c r="F10" s="10"/>
    </row>
    <row r="11" spans="1:10" x14ac:dyDescent="0.25">
      <c r="B11" t="s">
        <v>11</v>
      </c>
      <c r="C11" s="132" t="s">
        <v>1839</v>
      </c>
      <c r="D11" s="11"/>
      <c r="E11" s="11"/>
      <c r="F11" s="11"/>
    </row>
    <row r="12" spans="1:10" x14ac:dyDescent="0.25">
      <c r="A12" s="12"/>
      <c r="B12" s="13"/>
      <c r="C12" s="132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1840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1841</v>
      </c>
      <c r="C16" s="54" t="s">
        <v>23</v>
      </c>
      <c r="D16" s="72">
        <v>5</v>
      </c>
      <c r="E16" s="56">
        <v>7200</v>
      </c>
      <c r="F16" s="56">
        <f t="shared" ref="F16" si="0">D16*E16</f>
        <v>36000</v>
      </c>
      <c r="G16" s="56">
        <f>F16*0.17</f>
        <v>6120</v>
      </c>
      <c r="H16" s="84">
        <f>E16*1.17</f>
        <v>8424</v>
      </c>
      <c r="I16" s="56">
        <f t="shared" ref="I16" si="1">H16*D16</f>
        <v>42120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5</v>
      </c>
      <c r="E17" s="35"/>
      <c r="F17" s="62">
        <f>SUM(F16:F16)</f>
        <v>36000</v>
      </c>
      <c r="G17" s="62">
        <f>SUM(G16:G16)</f>
        <v>6120</v>
      </c>
      <c r="H17" s="35"/>
      <c r="I17" s="62">
        <f>SUM(I16:I16)</f>
        <v>42120</v>
      </c>
      <c r="J17" s="37"/>
    </row>
    <row r="18" spans="1:10" ht="15.75" thickTop="1" x14ac:dyDescent="0.25">
      <c r="A18" s="33"/>
      <c r="B18" s="34" t="s">
        <v>1842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6976426F-A78A-4880-8930-2D244C693F9B}"/>
  </hyperlinks>
  <pageMargins left="0.2" right="0.1" top="0.25" bottom="0.25" header="0.3" footer="0.3"/>
  <pageSetup paperSize="9" orientation="portrait" r:id="rId2"/>
  <drawing r:id="rId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J34"/>
  <sheetViews>
    <sheetView topLeftCell="A14" workbookViewId="0">
      <selection activeCell="F25" activeCellId="1" sqref="F20:F21 F2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169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168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182</v>
      </c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170</v>
      </c>
      <c r="C16" s="24" t="s">
        <v>23</v>
      </c>
      <c r="D16" s="25">
        <v>10</v>
      </c>
      <c r="E16" s="26">
        <f>234/117*100</f>
        <v>200</v>
      </c>
      <c r="F16" s="41">
        <f t="shared" ref="F16:F25" si="0">D16*E16</f>
        <v>2000</v>
      </c>
      <c r="G16" s="27">
        <f t="shared" ref="G16:G24" si="1">F16*0.17</f>
        <v>340</v>
      </c>
      <c r="H16" s="39">
        <f>E16*1.17</f>
        <v>234</v>
      </c>
      <c r="I16" s="27">
        <f t="shared" ref="I16:I25" si="2">H16*D16</f>
        <v>2340</v>
      </c>
      <c r="J16" s="28"/>
    </row>
    <row r="17" spans="1:10" s="21" customFormat="1" x14ac:dyDescent="0.25">
      <c r="A17" s="22">
        <v>2</v>
      </c>
      <c r="B17" s="23" t="s">
        <v>171</v>
      </c>
      <c r="C17" s="24" t="s">
        <v>23</v>
      </c>
      <c r="D17" s="25">
        <v>20</v>
      </c>
      <c r="E17" s="26">
        <f>70.2/117*100</f>
        <v>60</v>
      </c>
      <c r="F17" s="41">
        <f t="shared" si="0"/>
        <v>1200</v>
      </c>
      <c r="G17" s="27">
        <f t="shared" si="1"/>
        <v>204.00000000000003</v>
      </c>
      <c r="H17" s="39">
        <f>E17*1.17</f>
        <v>70.199999999999989</v>
      </c>
      <c r="I17" s="27">
        <f t="shared" si="2"/>
        <v>1403.9999999999998</v>
      </c>
      <c r="J17" s="28"/>
    </row>
    <row r="18" spans="1:10" s="21" customFormat="1" x14ac:dyDescent="0.25">
      <c r="A18" s="22">
        <v>3</v>
      </c>
      <c r="B18" s="23" t="s">
        <v>71</v>
      </c>
      <c r="C18" s="24" t="s">
        <v>23</v>
      </c>
      <c r="D18" s="25">
        <v>100</v>
      </c>
      <c r="E18" s="26">
        <f>18.72/117*100</f>
        <v>16</v>
      </c>
      <c r="F18" s="41">
        <f t="shared" si="0"/>
        <v>1600</v>
      </c>
      <c r="G18" s="27">
        <f t="shared" si="1"/>
        <v>272</v>
      </c>
      <c r="H18" s="39">
        <f>E18*1.17</f>
        <v>18.72</v>
      </c>
      <c r="I18" s="27">
        <f t="shared" si="2"/>
        <v>1872</v>
      </c>
      <c r="J18" s="28"/>
    </row>
    <row r="19" spans="1:10" s="21" customFormat="1" x14ac:dyDescent="0.25">
      <c r="A19" s="22">
        <v>4</v>
      </c>
      <c r="B19" s="23" t="s">
        <v>172</v>
      </c>
      <c r="C19" s="24" t="s">
        <v>165</v>
      </c>
      <c r="D19" s="25">
        <v>20</v>
      </c>
      <c r="E19" s="26">
        <f>49.14/117*100</f>
        <v>42</v>
      </c>
      <c r="F19" s="41">
        <f t="shared" si="0"/>
        <v>840</v>
      </c>
      <c r="G19" s="27">
        <f t="shared" si="1"/>
        <v>142.80000000000001</v>
      </c>
      <c r="H19" s="39">
        <f>E19*1.17</f>
        <v>49.14</v>
      </c>
      <c r="I19" s="27">
        <f t="shared" si="2"/>
        <v>982.8</v>
      </c>
      <c r="J19" s="28"/>
    </row>
    <row r="20" spans="1:10" s="21" customFormat="1" x14ac:dyDescent="0.25">
      <c r="A20" s="22">
        <v>5</v>
      </c>
      <c r="B20" s="23" t="s">
        <v>173</v>
      </c>
      <c r="C20" s="24" t="s">
        <v>76</v>
      </c>
      <c r="D20" s="25">
        <v>3</v>
      </c>
      <c r="E20" s="26">
        <f>220/100*100</f>
        <v>220.00000000000003</v>
      </c>
      <c r="F20" s="27">
        <f t="shared" si="0"/>
        <v>660.00000000000011</v>
      </c>
      <c r="G20" s="27">
        <v>0</v>
      </c>
      <c r="H20" s="39">
        <f>E20*1</f>
        <v>220.00000000000003</v>
      </c>
      <c r="I20" s="27">
        <f t="shared" si="2"/>
        <v>660.00000000000011</v>
      </c>
      <c r="J20" s="28"/>
    </row>
    <row r="21" spans="1:10" s="21" customFormat="1" x14ac:dyDescent="0.25">
      <c r="A21" s="22">
        <v>6</v>
      </c>
      <c r="B21" s="23" t="s">
        <v>174</v>
      </c>
      <c r="C21" s="24" t="s">
        <v>165</v>
      </c>
      <c r="D21" s="25">
        <v>20</v>
      </c>
      <c r="E21" s="26">
        <f>25/100*100</f>
        <v>25</v>
      </c>
      <c r="F21" s="27">
        <f t="shared" si="0"/>
        <v>500</v>
      </c>
      <c r="G21" s="27">
        <v>0</v>
      </c>
      <c r="H21" s="39">
        <f>E21*1</f>
        <v>25</v>
      </c>
      <c r="I21" s="27">
        <f t="shared" si="2"/>
        <v>500</v>
      </c>
      <c r="J21" s="28"/>
    </row>
    <row r="22" spans="1:10" s="21" customFormat="1" x14ac:dyDescent="0.25">
      <c r="A22" s="22">
        <v>7</v>
      </c>
      <c r="B22" s="23" t="s">
        <v>175</v>
      </c>
      <c r="C22" s="24" t="s">
        <v>23</v>
      </c>
      <c r="D22" s="25">
        <v>5</v>
      </c>
      <c r="E22" s="26">
        <f>286.65/117*100</f>
        <v>244.99999999999997</v>
      </c>
      <c r="F22" s="41">
        <f t="shared" si="0"/>
        <v>1224.9999999999998</v>
      </c>
      <c r="G22" s="27">
        <f t="shared" si="1"/>
        <v>208.24999999999997</v>
      </c>
      <c r="H22" s="39">
        <f>E22*1.17</f>
        <v>286.64999999999998</v>
      </c>
      <c r="I22" s="27">
        <f t="shared" si="2"/>
        <v>1433.25</v>
      </c>
      <c r="J22" s="28"/>
    </row>
    <row r="23" spans="1:10" s="21" customFormat="1" x14ac:dyDescent="0.25">
      <c r="A23" s="22">
        <v>8</v>
      </c>
      <c r="B23" s="23" t="s">
        <v>176</v>
      </c>
      <c r="C23" s="24" t="s">
        <v>23</v>
      </c>
      <c r="D23" s="25">
        <v>10</v>
      </c>
      <c r="E23" s="26">
        <f>409.5/117*100</f>
        <v>350</v>
      </c>
      <c r="F23" s="41">
        <f t="shared" si="0"/>
        <v>3500</v>
      </c>
      <c r="G23" s="27">
        <f t="shared" si="1"/>
        <v>595</v>
      </c>
      <c r="H23" s="39">
        <f>E23*1.17</f>
        <v>409.5</v>
      </c>
      <c r="I23" s="27">
        <f t="shared" si="2"/>
        <v>4095</v>
      </c>
      <c r="J23" s="28"/>
    </row>
    <row r="24" spans="1:10" s="21" customFormat="1" x14ac:dyDescent="0.25">
      <c r="A24" s="22">
        <v>9</v>
      </c>
      <c r="B24" s="23" t="s">
        <v>177</v>
      </c>
      <c r="C24" s="24" t="s">
        <v>76</v>
      </c>
      <c r="D24" s="25">
        <v>10</v>
      </c>
      <c r="E24" s="26">
        <f>117/117*100</f>
        <v>100</v>
      </c>
      <c r="F24" s="41">
        <f t="shared" si="0"/>
        <v>1000</v>
      </c>
      <c r="G24" s="27">
        <f t="shared" si="1"/>
        <v>170</v>
      </c>
      <c r="H24" s="39">
        <f>E24*1.17</f>
        <v>117</v>
      </c>
      <c r="I24" s="27">
        <f t="shared" si="2"/>
        <v>1170</v>
      </c>
      <c r="J24" s="28"/>
    </row>
    <row r="25" spans="1:10" s="21" customFormat="1" x14ac:dyDescent="0.25">
      <c r="A25" s="22">
        <v>10</v>
      </c>
      <c r="B25" s="23" t="s">
        <v>178</v>
      </c>
      <c r="C25" s="24" t="s">
        <v>76</v>
      </c>
      <c r="D25" s="25">
        <v>6</v>
      </c>
      <c r="E25" s="26">
        <f>70/100*100</f>
        <v>70</v>
      </c>
      <c r="F25" s="27">
        <f t="shared" si="0"/>
        <v>420</v>
      </c>
      <c r="G25" s="27">
        <v>0</v>
      </c>
      <c r="H25" s="39">
        <f>E25*1</f>
        <v>70</v>
      </c>
      <c r="I25" s="27">
        <f t="shared" si="2"/>
        <v>420</v>
      </c>
      <c r="J25" s="28"/>
    </row>
    <row r="26" spans="1:10" s="21" customFormat="1" x14ac:dyDescent="0.25">
      <c r="A26" s="29"/>
      <c r="B26" s="30"/>
      <c r="C26" s="31"/>
      <c r="D26" s="25"/>
      <c r="E26" s="26"/>
      <c r="F26" s="32"/>
      <c r="G26" s="32"/>
      <c r="H26" s="26"/>
      <c r="I26" s="32"/>
      <c r="J26" s="28"/>
    </row>
    <row r="27" spans="1:10" ht="15.75" thickBot="1" x14ac:dyDescent="0.3">
      <c r="A27" s="33"/>
      <c r="B27" s="34" t="s">
        <v>24</v>
      </c>
      <c r="C27" s="35"/>
      <c r="D27" s="36">
        <f>SUM(D16:D25)</f>
        <v>204</v>
      </c>
      <c r="E27" s="35"/>
      <c r="F27" s="36">
        <f>SUM(F16:F25)</f>
        <v>12945</v>
      </c>
      <c r="G27" s="36">
        <f>SUM(G16:G25)</f>
        <v>1932.05</v>
      </c>
      <c r="H27" s="35"/>
      <c r="I27" s="36">
        <f>SUM(I16:I25)</f>
        <v>14877.05</v>
      </c>
      <c r="J27" s="37"/>
    </row>
    <row r="28" spans="1:10" ht="15.75" thickTop="1" x14ac:dyDescent="0.25">
      <c r="A28" s="33"/>
      <c r="B28" s="34" t="s">
        <v>179</v>
      </c>
      <c r="C28" s="35"/>
      <c r="D28" s="35"/>
      <c r="E28" s="35"/>
      <c r="F28" s="35"/>
      <c r="G28" s="35"/>
      <c r="H28" s="35"/>
      <c r="I28" s="35"/>
      <c r="J28" s="37"/>
    </row>
    <row r="29" spans="1:10" x14ac:dyDescent="0.25">
      <c r="A29" s="33"/>
      <c r="B29" s="38" t="s">
        <v>25</v>
      </c>
      <c r="C29" s="35"/>
      <c r="D29" s="35"/>
      <c r="E29" s="35"/>
      <c r="F29" s="35"/>
      <c r="G29" s="35"/>
      <c r="H29" s="35"/>
      <c r="I29" s="35"/>
      <c r="J29" s="37"/>
    </row>
    <row r="30" spans="1:10" ht="30" customHeight="1" x14ac:dyDescent="0.25">
      <c r="B30" s="183" t="s">
        <v>26</v>
      </c>
      <c r="C30" s="183"/>
      <c r="D30" s="183"/>
      <c r="E30" s="183"/>
      <c r="F30" s="183"/>
      <c r="G30" s="183"/>
      <c r="H30" s="183"/>
      <c r="I30" s="183"/>
      <c r="J30" s="183"/>
    </row>
    <row r="31" spans="1:10" x14ac:dyDescent="0.25">
      <c r="B31" t="s">
        <v>27</v>
      </c>
    </row>
    <row r="33" spans="2:8" x14ac:dyDescent="0.25">
      <c r="B33" t="s">
        <v>28</v>
      </c>
      <c r="H33" t="s">
        <v>28</v>
      </c>
    </row>
    <row r="34" spans="2:8" x14ac:dyDescent="0.25">
      <c r="B34" t="s">
        <v>29</v>
      </c>
      <c r="H34" t="s">
        <v>30</v>
      </c>
    </row>
  </sheetData>
  <mergeCells count="5">
    <mergeCell ref="A6:J6"/>
    <mergeCell ref="I7:J7"/>
    <mergeCell ref="I8:J8"/>
    <mergeCell ref="I9:J9"/>
    <mergeCell ref="B30:J30"/>
  </mergeCells>
  <hyperlinks>
    <hyperlink ref="H5" r:id="rId1" xr:uid="{00000000-0004-0000-5700-000000000000}"/>
  </hyperlinks>
  <pageMargins left="0.2" right="0.1" top="0.25" bottom="0.25" header="0.3" footer="0.3"/>
  <pageSetup paperSize="9" orientation="portrait" r:id="rId2"/>
  <drawing r:id="rId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J50"/>
  <sheetViews>
    <sheetView topLeftCell="A12" workbookViewId="0">
      <selection activeCell="F32" activeCellId="5" sqref="F16 F21 F23 F25:F26 F30 F3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126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133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138</v>
      </c>
      <c r="J9" s="188"/>
    </row>
    <row r="10" spans="1:10" x14ac:dyDescent="0.25">
      <c r="B10" t="s">
        <v>9</v>
      </c>
      <c r="C10" s="10" t="s">
        <v>134</v>
      </c>
      <c r="D10" s="10"/>
      <c r="E10" s="10"/>
      <c r="F10" s="10"/>
    </row>
    <row r="11" spans="1:10" x14ac:dyDescent="0.25">
      <c r="B11" t="s">
        <v>11</v>
      </c>
      <c r="C11" s="10" t="s">
        <v>135</v>
      </c>
      <c r="D11" s="11"/>
      <c r="E11" s="11"/>
      <c r="F11" s="11"/>
    </row>
    <row r="12" spans="1:10" x14ac:dyDescent="0.25">
      <c r="A12" s="12"/>
      <c r="B12" s="13"/>
      <c r="C12" s="14" t="s">
        <v>136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1" t="s">
        <v>137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139</v>
      </c>
      <c r="C16" s="24" t="s">
        <v>76</v>
      </c>
      <c r="D16" s="25">
        <v>30</v>
      </c>
      <c r="E16" s="40">
        <v>120</v>
      </c>
      <c r="F16" s="27">
        <f t="shared" ref="F16" si="0">D16*E16</f>
        <v>3600</v>
      </c>
      <c r="G16" s="27">
        <f>F16*0</f>
        <v>0</v>
      </c>
      <c r="H16" s="39">
        <f>E16*1</f>
        <v>120</v>
      </c>
      <c r="I16" s="27">
        <f t="shared" ref="I16" si="1">H16*D16</f>
        <v>3600</v>
      </c>
      <c r="J16" s="28"/>
    </row>
    <row r="17" spans="1:10" s="21" customFormat="1" x14ac:dyDescent="0.25">
      <c r="A17" s="22">
        <f>A16+1</f>
        <v>2</v>
      </c>
      <c r="B17" s="23" t="s">
        <v>140</v>
      </c>
      <c r="C17" s="24" t="s">
        <v>23</v>
      </c>
      <c r="D17" s="25">
        <v>20</v>
      </c>
      <c r="E17" s="40">
        <f>175.5/117*100</f>
        <v>150</v>
      </c>
      <c r="F17" s="41">
        <f t="shared" ref="F17:F41" si="2">D17*E17</f>
        <v>3000</v>
      </c>
      <c r="G17" s="27">
        <f t="shared" ref="G17:G41" si="3">F17*0.17</f>
        <v>510.00000000000006</v>
      </c>
      <c r="H17" s="39">
        <f t="shared" ref="H17:H41" si="4">E17*1.17</f>
        <v>175.5</v>
      </c>
      <c r="I17" s="27">
        <f t="shared" ref="I17:I41" si="5">H17*D17</f>
        <v>3510</v>
      </c>
      <c r="J17" s="28"/>
    </row>
    <row r="18" spans="1:10" s="21" customFormat="1" x14ac:dyDescent="0.25">
      <c r="A18" s="22">
        <f t="shared" ref="A18:A41" si="6">A17+1</f>
        <v>3</v>
      </c>
      <c r="B18" s="23" t="s">
        <v>141</v>
      </c>
      <c r="C18" s="24" t="s">
        <v>165</v>
      </c>
      <c r="D18" s="25">
        <v>20</v>
      </c>
      <c r="E18" s="40">
        <f>280.8/117*100</f>
        <v>240</v>
      </c>
      <c r="F18" s="41">
        <f t="shared" si="2"/>
        <v>4800</v>
      </c>
      <c r="G18" s="27">
        <f t="shared" si="3"/>
        <v>816.00000000000011</v>
      </c>
      <c r="H18" s="39">
        <f t="shared" si="4"/>
        <v>280.79999999999995</v>
      </c>
      <c r="I18" s="27">
        <f t="shared" si="5"/>
        <v>5615.9999999999991</v>
      </c>
      <c r="J18" s="28"/>
    </row>
    <row r="19" spans="1:10" s="21" customFormat="1" x14ac:dyDescent="0.25">
      <c r="A19" s="22">
        <f t="shared" si="6"/>
        <v>4</v>
      </c>
      <c r="B19" s="23" t="s">
        <v>142</v>
      </c>
      <c r="C19" s="24" t="s">
        <v>23</v>
      </c>
      <c r="D19" s="25">
        <v>50</v>
      </c>
      <c r="E19" s="40">
        <f>64.35/117*100</f>
        <v>54.999999999999993</v>
      </c>
      <c r="F19" s="41">
        <f t="shared" si="2"/>
        <v>2749.9999999999995</v>
      </c>
      <c r="G19" s="27">
        <f t="shared" si="3"/>
        <v>467.49999999999994</v>
      </c>
      <c r="H19" s="39">
        <f t="shared" si="4"/>
        <v>64.349999999999994</v>
      </c>
      <c r="I19" s="27">
        <f t="shared" si="5"/>
        <v>3217.4999999999995</v>
      </c>
      <c r="J19" s="28"/>
    </row>
    <row r="20" spans="1:10" s="21" customFormat="1" x14ac:dyDescent="0.25">
      <c r="A20" s="22">
        <f t="shared" si="6"/>
        <v>5</v>
      </c>
      <c r="B20" s="23" t="s">
        <v>143</v>
      </c>
      <c r="C20" s="24" t="s">
        <v>23</v>
      </c>
      <c r="D20" s="25">
        <v>30</v>
      </c>
      <c r="E20" s="40">
        <f>87.75/117*100</f>
        <v>75</v>
      </c>
      <c r="F20" s="41">
        <f t="shared" si="2"/>
        <v>2250</v>
      </c>
      <c r="G20" s="27">
        <f t="shared" si="3"/>
        <v>382.5</v>
      </c>
      <c r="H20" s="39">
        <f t="shared" si="4"/>
        <v>87.75</v>
      </c>
      <c r="I20" s="27">
        <f t="shared" si="5"/>
        <v>2632.5</v>
      </c>
      <c r="J20" s="28"/>
    </row>
    <row r="21" spans="1:10" s="21" customFormat="1" x14ac:dyDescent="0.25">
      <c r="A21" s="22">
        <f t="shared" si="6"/>
        <v>6</v>
      </c>
      <c r="B21" s="23" t="s">
        <v>144</v>
      </c>
      <c r="C21" s="24" t="s">
        <v>23</v>
      </c>
      <c r="D21" s="25">
        <v>36</v>
      </c>
      <c r="E21" s="40">
        <v>25</v>
      </c>
      <c r="F21" s="27">
        <f t="shared" si="2"/>
        <v>900</v>
      </c>
      <c r="G21" s="27">
        <f>F21*0</f>
        <v>0</v>
      </c>
      <c r="H21" s="39">
        <f>E21*1</f>
        <v>25</v>
      </c>
      <c r="I21" s="27">
        <f t="shared" si="5"/>
        <v>900</v>
      </c>
      <c r="J21" s="28"/>
    </row>
    <row r="22" spans="1:10" s="21" customFormat="1" x14ac:dyDescent="0.25">
      <c r="A22" s="22">
        <f t="shared" si="6"/>
        <v>7</v>
      </c>
      <c r="B22" s="23" t="s">
        <v>145</v>
      </c>
      <c r="C22" s="24" t="s">
        <v>23</v>
      </c>
      <c r="D22" s="25">
        <v>150</v>
      </c>
      <c r="E22" s="40">
        <f>175.5/117*100</f>
        <v>150</v>
      </c>
      <c r="F22" s="41">
        <f t="shared" si="2"/>
        <v>22500</v>
      </c>
      <c r="G22" s="27">
        <f t="shared" si="3"/>
        <v>3825.0000000000005</v>
      </c>
      <c r="H22" s="39">
        <f t="shared" si="4"/>
        <v>175.5</v>
      </c>
      <c r="I22" s="27">
        <f t="shared" si="5"/>
        <v>26325</v>
      </c>
      <c r="J22" s="28"/>
    </row>
    <row r="23" spans="1:10" s="21" customFormat="1" x14ac:dyDescent="0.25">
      <c r="A23" s="22">
        <f t="shared" si="6"/>
        <v>8</v>
      </c>
      <c r="B23" s="23" t="s">
        <v>146</v>
      </c>
      <c r="C23" s="24" t="s">
        <v>76</v>
      </c>
      <c r="D23" s="25">
        <v>10</v>
      </c>
      <c r="E23" s="40">
        <v>72</v>
      </c>
      <c r="F23" s="27">
        <f t="shared" si="2"/>
        <v>720</v>
      </c>
      <c r="G23" s="27">
        <f>F23*0</f>
        <v>0</v>
      </c>
      <c r="H23" s="39">
        <f>E23*1</f>
        <v>72</v>
      </c>
      <c r="I23" s="27">
        <f t="shared" si="5"/>
        <v>720</v>
      </c>
      <c r="J23" s="28"/>
    </row>
    <row r="24" spans="1:10" s="21" customFormat="1" x14ac:dyDescent="0.25">
      <c r="A24" s="22">
        <f t="shared" si="6"/>
        <v>9</v>
      </c>
      <c r="B24" s="23" t="s">
        <v>147</v>
      </c>
      <c r="C24" s="24" t="s">
        <v>23</v>
      </c>
      <c r="D24" s="25">
        <v>5</v>
      </c>
      <c r="E24" s="40">
        <f>1462.5/117*100</f>
        <v>1250</v>
      </c>
      <c r="F24" s="41">
        <f t="shared" si="2"/>
        <v>6250</v>
      </c>
      <c r="G24" s="27">
        <f t="shared" si="3"/>
        <v>1062.5</v>
      </c>
      <c r="H24" s="39">
        <f t="shared" si="4"/>
        <v>1462.5</v>
      </c>
      <c r="I24" s="27">
        <f t="shared" si="5"/>
        <v>7312.5</v>
      </c>
      <c r="J24" s="28"/>
    </row>
    <row r="25" spans="1:10" s="21" customFormat="1" x14ac:dyDescent="0.25">
      <c r="A25" s="22">
        <f t="shared" si="6"/>
        <v>10</v>
      </c>
      <c r="B25" s="23" t="s">
        <v>148</v>
      </c>
      <c r="C25" s="24" t="s">
        <v>76</v>
      </c>
      <c r="D25" s="25">
        <v>1</v>
      </c>
      <c r="E25" s="40">
        <v>380</v>
      </c>
      <c r="F25" s="27">
        <f t="shared" si="2"/>
        <v>380</v>
      </c>
      <c r="G25" s="27">
        <f>F25*0</f>
        <v>0</v>
      </c>
      <c r="H25" s="39">
        <f>E25*1</f>
        <v>380</v>
      </c>
      <c r="I25" s="27">
        <f t="shared" si="5"/>
        <v>380</v>
      </c>
      <c r="J25" s="28"/>
    </row>
    <row r="26" spans="1:10" s="21" customFormat="1" x14ac:dyDescent="0.25">
      <c r="A26" s="22">
        <f t="shared" si="6"/>
        <v>11</v>
      </c>
      <c r="B26" s="23" t="s">
        <v>149</v>
      </c>
      <c r="C26" s="24" t="s">
        <v>76</v>
      </c>
      <c r="D26" s="25">
        <v>3</v>
      </c>
      <c r="E26" s="40">
        <v>280</v>
      </c>
      <c r="F26" s="27">
        <f t="shared" si="2"/>
        <v>840</v>
      </c>
      <c r="G26" s="27">
        <f>F26*0</f>
        <v>0</v>
      </c>
      <c r="H26" s="39">
        <f>E26*1</f>
        <v>280</v>
      </c>
      <c r="I26" s="27">
        <f t="shared" si="5"/>
        <v>840</v>
      </c>
      <c r="J26" s="28"/>
    </row>
    <row r="27" spans="1:10" s="21" customFormat="1" x14ac:dyDescent="0.25">
      <c r="A27" s="22">
        <f t="shared" si="6"/>
        <v>12</v>
      </c>
      <c r="B27" s="23" t="s">
        <v>150</v>
      </c>
      <c r="C27" s="24" t="s">
        <v>165</v>
      </c>
      <c r="D27" s="25">
        <v>20</v>
      </c>
      <c r="E27" s="40">
        <f>2474.55/117*100</f>
        <v>2115</v>
      </c>
      <c r="F27" s="41">
        <f t="shared" si="2"/>
        <v>42300</v>
      </c>
      <c r="G27" s="27">
        <f t="shared" si="3"/>
        <v>7191.0000000000009</v>
      </c>
      <c r="H27" s="39">
        <f t="shared" si="4"/>
        <v>2474.5499999999997</v>
      </c>
      <c r="I27" s="27">
        <f t="shared" si="5"/>
        <v>49490.999999999993</v>
      </c>
      <c r="J27" s="28"/>
    </row>
    <row r="28" spans="1:10" s="21" customFormat="1" x14ac:dyDescent="0.25">
      <c r="A28" s="22">
        <f t="shared" si="6"/>
        <v>13</v>
      </c>
      <c r="B28" s="23" t="s">
        <v>151</v>
      </c>
      <c r="C28" s="24" t="s">
        <v>165</v>
      </c>
      <c r="D28" s="25">
        <v>5</v>
      </c>
      <c r="E28" s="40">
        <f>2925/117*100</f>
        <v>2500</v>
      </c>
      <c r="F28" s="41">
        <f t="shared" si="2"/>
        <v>12500</v>
      </c>
      <c r="G28" s="27">
        <f t="shared" si="3"/>
        <v>2125</v>
      </c>
      <c r="H28" s="39">
        <f t="shared" si="4"/>
        <v>2925</v>
      </c>
      <c r="I28" s="27">
        <f t="shared" si="5"/>
        <v>14625</v>
      </c>
      <c r="J28" s="28"/>
    </row>
    <row r="29" spans="1:10" s="21" customFormat="1" x14ac:dyDescent="0.25">
      <c r="A29" s="22">
        <f t="shared" si="6"/>
        <v>14</v>
      </c>
      <c r="B29" s="23" t="s">
        <v>152</v>
      </c>
      <c r="C29" s="24" t="s">
        <v>23</v>
      </c>
      <c r="D29" s="25">
        <v>25</v>
      </c>
      <c r="E29" s="40">
        <f>64.35/117*100</f>
        <v>54.999999999999993</v>
      </c>
      <c r="F29" s="41">
        <f t="shared" si="2"/>
        <v>1374.9999999999998</v>
      </c>
      <c r="G29" s="27">
        <f t="shared" si="3"/>
        <v>233.74999999999997</v>
      </c>
      <c r="H29" s="39">
        <f t="shared" si="4"/>
        <v>64.349999999999994</v>
      </c>
      <c r="I29" s="27">
        <f t="shared" si="5"/>
        <v>1608.7499999999998</v>
      </c>
      <c r="J29" s="28"/>
    </row>
    <row r="30" spans="1:10" s="21" customFormat="1" x14ac:dyDescent="0.25">
      <c r="A30" s="22">
        <f t="shared" si="6"/>
        <v>15</v>
      </c>
      <c r="B30" s="23" t="s">
        <v>153</v>
      </c>
      <c r="C30" s="24" t="s">
        <v>23</v>
      </c>
      <c r="D30" s="25">
        <v>12</v>
      </c>
      <c r="E30" s="40">
        <v>140</v>
      </c>
      <c r="F30" s="27">
        <f t="shared" si="2"/>
        <v>1680</v>
      </c>
      <c r="G30" s="27">
        <f>F30*0</f>
        <v>0</v>
      </c>
      <c r="H30" s="39">
        <f>E30*1</f>
        <v>140</v>
      </c>
      <c r="I30" s="27">
        <f t="shared" si="5"/>
        <v>1680</v>
      </c>
      <c r="J30" s="28"/>
    </row>
    <row r="31" spans="1:10" s="21" customFormat="1" x14ac:dyDescent="0.25">
      <c r="A31" s="22">
        <f t="shared" si="6"/>
        <v>16</v>
      </c>
      <c r="B31" s="23" t="s">
        <v>154</v>
      </c>
      <c r="C31" s="24" t="s">
        <v>166</v>
      </c>
      <c r="D31" s="25">
        <v>60</v>
      </c>
      <c r="E31" s="40">
        <f>29.25/117*100</f>
        <v>25</v>
      </c>
      <c r="F31" s="41">
        <f t="shared" si="2"/>
        <v>1500</v>
      </c>
      <c r="G31" s="27">
        <f t="shared" si="3"/>
        <v>255.00000000000003</v>
      </c>
      <c r="H31" s="39">
        <f t="shared" si="4"/>
        <v>29.25</v>
      </c>
      <c r="I31" s="27">
        <f t="shared" si="5"/>
        <v>1755</v>
      </c>
      <c r="J31" s="28"/>
    </row>
    <row r="32" spans="1:10" s="21" customFormat="1" x14ac:dyDescent="0.25">
      <c r="A32" s="22">
        <f t="shared" si="6"/>
        <v>17</v>
      </c>
      <c r="B32" s="23" t="s">
        <v>155</v>
      </c>
      <c r="C32" s="24" t="s">
        <v>76</v>
      </c>
      <c r="D32" s="25">
        <v>20</v>
      </c>
      <c r="E32" s="40">
        <v>70</v>
      </c>
      <c r="F32" s="27">
        <f t="shared" si="2"/>
        <v>1400</v>
      </c>
      <c r="G32" s="27">
        <f>F32*0</f>
        <v>0</v>
      </c>
      <c r="H32" s="39">
        <f>E32*1</f>
        <v>70</v>
      </c>
      <c r="I32" s="27">
        <f t="shared" si="5"/>
        <v>1400</v>
      </c>
      <c r="J32" s="28"/>
    </row>
    <row r="33" spans="1:10" s="21" customFormat="1" x14ac:dyDescent="0.25">
      <c r="A33" s="22">
        <f t="shared" si="6"/>
        <v>18</v>
      </c>
      <c r="B33" s="23" t="s">
        <v>156</v>
      </c>
      <c r="C33" s="24" t="s">
        <v>23</v>
      </c>
      <c r="D33" s="25">
        <v>300</v>
      </c>
      <c r="E33" s="40">
        <f>3.51/117*100</f>
        <v>3</v>
      </c>
      <c r="F33" s="41">
        <f t="shared" si="2"/>
        <v>900</v>
      </c>
      <c r="G33" s="27">
        <f t="shared" si="3"/>
        <v>153</v>
      </c>
      <c r="H33" s="39">
        <f t="shared" si="4"/>
        <v>3.51</v>
      </c>
      <c r="I33" s="27">
        <f t="shared" si="5"/>
        <v>1053</v>
      </c>
      <c r="J33" s="28"/>
    </row>
    <row r="34" spans="1:10" s="21" customFormat="1" x14ac:dyDescent="0.25">
      <c r="A34" s="22">
        <f t="shared" si="6"/>
        <v>19</v>
      </c>
      <c r="B34" s="23" t="s">
        <v>157</v>
      </c>
      <c r="C34" s="24" t="s">
        <v>23</v>
      </c>
      <c r="D34" s="25">
        <v>300</v>
      </c>
      <c r="E34" s="40">
        <f>2.34/117*100</f>
        <v>2</v>
      </c>
      <c r="F34" s="41">
        <f t="shared" si="2"/>
        <v>600</v>
      </c>
      <c r="G34" s="27">
        <f t="shared" si="3"/>
        <v>102.00000000000001</v>
      </c>
      <c r="H34" s="39">
        <f t="shared" si="4"/>
        <v>2.34</v>
      </c>
      <c r="I34" s="27">
        <f t="shared" si="5"/>
        <v>702</v>
      </c>
      <c r="J34" s="28"/>
    </row>
    <row r="35" spans="1:10" s="21" customFormat="1" x14ac:dyDescent="0.25">
      <c r="A35" s="22">
        <f t="shared" si="6"/>
        <v>20</v>
      </c>
      <c r="B35" s="23" t="s">
        <v>158</v>
      </c>
      <c r="C35" s="24" t="s">
        <v>23</v>
      </c>
      <c r="D35" s="25">
        <v>300</v>
      </c>
      <c r="E35" s="40">
        <f>1.17/117*100</f>
        <v>1</v>
      </c>
      <c r="F35" s="41">
        <f t="shared" si="2"/>
        <v>300</v>
      </c>
      <c r="G35" s="27">
        <f t="shared" si="3"/>
        <v>51.000000000000007</v>
      </c>
      <c r="H35" s="39">
        <f t="shared" si="4"/>
        <v>1.17</v>
      </c>
      <c r="I35" s="27">
        <f t="shared" si="5"/>
        <v>351</v>
      </c>
      <c r="J35" s="28"/>
    </row>
    <row r="36" spans="1:10" s="21" customFormat="1" x14ac:dyDescent="0.25">
      <c r="A36" s="22">
        <f t="shared" si="6"/>
        <v>21</v>
      </c>
      <c r="B36" s="23" t="s">
        <v>159</v>
      </c>
      <c r="C36" s="24" t="s">
        <v>23</v>
      </c>
      <c r="D36" s="25">
        <v>250</v>
      </c>
      <c r="E36" s="40">
        <f>17.55/117*100</f>
        <v>15</v>
      </c>
      <c r="F36" s="41">
        <f t="shared" si="2"/>
        <v>3750</v>
      </c>
      <c r="G36" s="27">
        <f t="shared" si="3"/>
        <v>637.5</v>
      </c>
      <c r="H36" s="39">
        <f t="shared" si="4"/>
        <v>17.549999999999997</v>
      </c>
      <c r="I36" s="27">
        <f t="shared" si="5"/>
        <v>4387.4999999999991</v>
      </c>
      <c r="J36" s="28"/>
    </row>
    <row r="37" spans="1:10" s="21" customFormat="1" x14ac:dyDescent="0.25">
      <c r="A37" s="22">
        <f t="shared" si="6"/>
        <v>22</v>
      </c>
      <c r="B37" s="23" t="s">
        <v>160</v>
      </c>
      <c r="C37" s="24" t="s">
        <v>23</v>
      </c>
      <c r="D37" s="25">
        <v>6</v>
      </c>
      <c r="E37" s="40">
        <f>157.95/117*100</f>
        <v>135</v>
      </c>
      <c r="F37" s="41">
        <f t="shared" si="2"/>
        <v>810</v>
      </c>
      <c r="G37" s="27">
        <f t="shared" si="3"/>
        <v>137.70000000000002</v>
      </c>
      <c r="H37" s="39">
        <f t="shared" si="4"/>
        <v>157.94999999999999</v>
      </c>
      <c r="I37" s="27">
        <f t="shared" si="5"/>
        <v>947.69999999999993</v>
      </c>
      <c r="J37" s="28"/>
    </row>
    <row r="38" spans="1:10" s="21" customFormat="1" x14ac:dyDescent="0.25">
      <c r="A38" s="22">
        <f t="shared" si="6"/>
        <v>23</v>
      </c>
      <c r="B38" s="23" t="s">
        <v>161</v>
      </c>
      <c r="C38" s="24" t="s">
        <v>23</v>
      </c>
      <c r="D38" s="25">
        <v>1</v>
      </c>
      <c r="E38" s="40">
        <f>11196.9/117*100</f>
        <v>9570</v>
      </c>
      <c r="F38" s="41">
        <f t="shared" si="2"/>
        <v>9570</v>
      </c>
      <c r="G38" s="27">
        <f t="shared" si="3"/>
        <v>1626.9</v>
      </c>
      <c r="H38" s="39">
        <f t="shared" si="4"/>
        <v>11196.9</v>
      </c>
      <c r="I38" s="27">
        <f t="shared" si="5"/>
        <v>11196.9</v>
      </c>
      <c r="J38" s="28"/>
    </row>
    <row r="39" spans="1:10" s="21" customFormat="1" x14ac:dyDescent="0.25">
      <c r="A39" s="22">
        <f t="shared" si="6"/>
        <v>24</v>
      </c>
      <c r="B39" s="23" t="s">
        <v>162</v>
      </c>
      <c r="C39" s="24" t="s">
        <v>23</v>
      </c>
      <c r="D39" s="25">
        <v>1</v>
      </c>
      <c r="E39" s="40">
        <f>10038/117*100</f>
        <v>8579.4871794871797</v>
      </c>
      <c r="F39" s="41">
        <f t="shared" si="2"/>
        <v>8579.4871794871797</v>
      </c>
      <c r="G39" s="27">
        <f t="shared" si="3"/>
        <v>1458.5128205128206</v>
      </c>
      <c r="H39" s="39">
        <f t="shared" si="4"/>
        <v>10038</v>
      </c>
      <c r="I39" s="27">
        <f t="shared" si="5"/>
        <v>10038</v>
      </c>
      <c r="J39" s="28"/>
    </row>
    <row r="40" spans="1:10" s="21" customFormat="1" x14ac:dyDescent="0.25">
      <c r="A40" s="22">
        <f t="shared" si="6"/>
        <v>25</v>
      </c>
      <c r="B40" s="23" t="s">
        <v>163</v>
      </c>
      <c r="C40" s="24" t="s">
        <v>76</v>
      </c>
      <c r="D40" s="25">
        <v>30</v>
      </c>
      <c r="E40" s="40">
        <f>70.2/117*100</f>
        <v>60</v>
      </c>
      <c r="F40" s="41">
        <f t="shared" si="2"/>
        <v>1800</v>
      </c>
      <c r="G40" s="27">
        <f t="shared" si="3"/>
        <v>306</v>
      </c>
      <c r="H40" s="39">
        <f t="shared" si="4"/>
        <v>70.199999999999989</v>
      </c>
      <c r="I40" s="27">
        <f t="shared" si="5"/>
        <v>2105.9999999999995</v>
      </c>
      <c r="J40" s="28"/>
    </row>
    <row r="41" spans="1:10" s="21" customFormat="1" x14ac:dyDescent="0.25">
      <c r="A41" s="22">
        <f t="shared" si="6"/>
        <v>26</v>
      </c>
      <c r="B41" s="23" t="s">
        <v>164</v>
      </c>
      <c r="C41" s="24" t="s">
        <v>23</v>
      </c>
      <c r="D41" s="25">
        <v>30</v>
      </c>
      <c r="E41" s="40">
        <f>87.75/117*100</f>
        <v>75</v>
      </c>
      <c r="F41" s="41">
        <f t="shared" si="2"/>
        <v>2250</v>
      </c>
      <c r="G41" s="27">
        <f t="shared" si="3"/>
        <v>382.5</v>
      </c>
      <c r="H41" s="39">
        <f t="shared" si="4"/>
        <v>87.75</v>
      </c>
      <c r="I41" s="27">
        <f t="shared" si="5"/>
        <v>2632.5</v>
      </c>
      <c r="J41" s="28"/>
    </row>
    <row r="42" spans="1:10" s="21" customFormat="1" x14ac:dyDescent="0.25">
      <c r="A42" s="29"/>
      <c r="B42" s="30"/>
      <c r="C42" s="31"/>
      <c r="D42" s="25"/>
      <c r="E42" s="26"/>
      <c r="F42" s="32"/>
      <c r="G42" s="32"/>
      <c r="H42" s="26"/>
      <c r="I42" s="32"/>
      <c r="J42" s="28"/>
    </row>
    <row r="43" spans="1:10" ht="15.75" thickBot="1" x14ac:dyDescent="0.3">
      <c r="A43" s="33"/>
      <c r="B43" s="34" t="s">
        <v>24</v>
      </c>
      <c r="C43" s="35"/>
      <c r="D43" s="36">
        <f>SUM(D16:D41)</f>
        <v>1715</v>
      </c>
      <c r="E43" s="35"/>
      <c r="F43" s="36">
        <f>SUM(F16:F41)</f>
        <v>137304.48717948719</v>
      </c>
      <c r="G43" s="36">
        <f>SUM(G16:G41)</f>
        <v>21723.362820512823</v>
      </c>
      <c r="H43" s="35"/>
      <c r="I43" s="36">
        <f>SUM(I16:I41)</f>
        <v>159027.85</v>
      </c>
      <c r="J43" s="37"/>
    </row>
    <row r="44" spans="1:10" ht="15.75" thickTop="1" x14ac:dyDescent="0.25">
      <c r="A44" s="33"/>
      <c r="B44" s="34" t="s">
        <v>167</v>
      </c>
      <c r="C44" s="35"/>
      <c r="D44" s="35"/>
      <c r="E44" s="35"/>
      <c r="F44" s="35"/>
      <c r="G44" s="35"/>
      <c r="H44" s="35"/>
      <c r="I44" s="35"/>
      <c r="J44" s="37"/>
    </row>
    <row r="45" spans="1:10" x14ac:dyDescent="0.25">
      <c r="A45" s="33"/>
      <c r="B45" s="38" t="s">
        <v>25</v>
      </c>
      <c r="C45" s="35"/>
      <c r="D45" s="35"/>
      <c r="E45" s="35"/>
      <c r="F45" s="35"/>
      <c r="G45" s="35"/>
      <c r="H45" s="35"/>
      <c r="I45" s="35"/>
      <c r="J45" s="37"/>
    </row>
    <row r="46" spans="1:10" ht="30" customHeight="1" x14ac:dyDescent="0.25">
      <c r="B46" s="183" t="s">
        <v>26</v>
      </c>
      <c r="C46" s="183"/>
      <c r="D46" s="183"/>
      <c r="E46" s="183"/>
      <c r="F46" s="183"/>
      <c r="G46" s="183"/>
      <c r="H46" s="183"/>
      <c r="I46" s="183"/>
      <c r="J46" s="183"/>
    </row>
    <row r="47" spans="1:10" x14ac:dyDescent="0.25">
      <c r="B47" t="s">
        <v>27</v>
      </c>
    </row>
    <row r="49" spans="2:8" x14ac:dyDescent="0.25">
      <c r="B49" t="s">
        <v>28</v>
      </c>
      <c r="H49" t="s">
        <v>28</v>
      </c>
    </row>
    <row r="50" spans="2:8" x14ac:dyDescent="0.25">
      <c r="B50" t="s">
        <v>29</v>
      </c>
      <c r="H50" t="s">
        <v>30</v>
      </c>
    </row>
  </sheetData>
  <mergeCells count="5">
    <mergeCell ref="A6:J6"/>
    <mergeCell ref="I7:J7"/>
    <mergeCell ref="I8:J8"/>
    <mergeCell ref="I9:J9"/>
    <mergeCell ref="B46:J46"/>
  </mergeCells>
  <hyperlinks>
    <hyperlink ref="H5" r:id="rId1" xr:uid="{00000000-0004-0000-5800-000000000000}"/>
  </hyperlinks>
  <pageMargins left="0.2" right="0.1" top="0.25" bottom="0.25" header="0.3" footer="0.3"/>
  <pageSetup paperSize="9" orientation="portrait" r:id="rId2"/>
  <drawing r:id="rId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J26"/>
  <sheetViews>
    <sheetView topLeftCell="A5" workbookViewId="0">
      <selection activeCell="A14" sqref="A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126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125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128</v>
      </c>
      <c r="D11" s="11"/>
      <c r="E11" s="11"/>
      <c r="F11" s="11"/>
    </row>
    <row r="12" spans="1:10" x14ac:dyDescent="0.25">
      <c r="A12" s="12"/>
      <c r="B12" s="13"/>
      <c r="C12" s="14" t="s">
        <v>129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131</v>
      </c>
      <c r="C16" s="24" t="s">
        <v>23</v>
      </c>
      <c r="D16" s="25">
        <v>1</v>
      </c>
      <c r="E16" s="26">
        <v>365</v>
      </c>
      <c r="F16" s="27">
        <f t="shared" ref="F16:F17" si="0">D16*E16</f>
        <v>365</v>
      </c>
      <c r="G16" s="27">
        <v>0</v>
      </c>
      <c r="H16" s="39">
        <f>E16*1</f>
        <v>365</v>
      </c>
      <c r="I16" s="27">
        <f t="shared" ref="I16:I17" si="1">H16*D16</f>
        <v>365</v>
      </c>
      <c r="J16" s="28"/>
    </row>
    <row r="17" spans="1:10" s="21" customFormat="1" ht="25.5" x14ac:dyDescent="0.25">
      <c r="A17" s="22">
        <v>2</v>
      </c>
      <c r="B17" s="23" t="s">
        <v>130</v>
      </c>
      <c r="C17" s="24" t="s">
        <v>23</v>
      </c>
      <c r="D17" s="25">
        <v>1</v>
      </c>
      <c r="E17" s="26">
        <v>365</v>
      </c>
      <c r="F17" s="27">
        <f t="shared" si="0"/>
        <v>365</v>
      </c>
      <c r="G17" s="27">
        <v>0</v>
      </c>
      <c r="H17" s="39">
        <f>E17*1</f>
        <v>365</v>
      </c>
      <c r="I17" s="27">
        <f t="shared" si="1"/>
        <v>365</v>
      </c>
      <c r="J17" s="28"/>
    </row>
    <row r="18" spans="1:10" s="21" customFormat="1" x14ac:dyDescent="0.25">
      <c r="A18" s="29"/>
      <c r="B18" s="30"/>
      <c r="C18" s="31"/>
      <c r="D18" s="25"/>
      <c r="E18" s="26"/>
      <c r="F18" s="32"/>
      <c r="G18" s="32"/>
      <c r="H18" s="26"/>
      <c r="I18" s="32"/>
      <c r="J18" s="28"/>
    </row>
    <row r="19" spans="1:10" ht="15.75" thickBot="1" x14ac:dyDescent="0.3">
      <c r="A19" s="33"/>
      <c r="B19" s="34" t="s">
        <v>24</v>
      </c>
      <c r="C19" s="35"/>
      <c r="D19" s="36">
        <f>SUM(D16:D17)</f>
        <v>2</v>
      </c>
      <c r="E19" s="35"/>
      <c r="F19" s="36">
        <f>SUM(F16:F17)</f>
        <v>730</v>
      </c>
      <c r="G19" s="36">
        <f>SUM(G16:G17)</f>
        <v>0</v>
      </c>
      <c r="H19" s="35"/>
      <c r="I19" s="36">
        <f>SUM(I16:I17)</f>
        <v>730</v>
      </c>
      <c r="J19" s="37"/>
    </row>
    <row r="20" spans="1:10" ht="15.75" thickTop="1" x14ac:dyDescent="0.25">
      <c r="A20" s="33"/>
      <c r="B20" s="34" t="s">
        <v>132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27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mergeCells count="5">
    <mergeCell ref="A6:J6"/>
    <mergeCell ref="I7:J7"/>
    <mergeCell ref="I8:J8"/>
    <mergeCell ref="I9:J9"/>
    <mergeCell ref="B22:J22"/>
  </mergeCells>
  <hyperlinks>
    <hyperlink ref="H5" r:id="rId1" xr:uid="{00000000-0004-0000-5900-000000000000}"/>
  </hyperlinks>
  <pageMargins left="0.2" right="0.1" top="0.25" bottom="0.25" header="0.3" footer="0.3"/>
  <pageSetup paperSize="9" orientation="portrait" r:id="rId2"/>
  <drawing r:id="rId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J35"/>
  <sheetViews>
    <sheetView workbookViewId="0">
      <selection activeCell="F16" sqref="F16:I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111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110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112</v>
      </c>
      <c r="C16" s="24" t="s">
        <v>23</v>
      </c>
      <c r="D16" s="25">
        <v>5</v>
      </c>
      <c r="E16" s="26">
        <f>1228.5/117*100</f>
        <v>1050</v>
      </c>
      <c r="F16" s="27">
        <f t="shared" ref="F16:F26" si="0">D16*E16</f>
        <v>5250</v>
      </c>
      <c r="G16" s="27">
        <f t="shared" ref="G16:G26" si="1">F16*0.17</f>
        <v>892.50000000000011</v>
      </c>
      <c r="H16" s="39">
        <f t="shared" ref="H16:H26" si="2">E16*1.17</f>
        <v>1228.5</v>
      </c>
      <c r="I16" s="27">
        <f t="shared" ref="I16:I26" si="3">H16*D16</f>
        <v>6142.5</v>
      </c>
      <c r="J16" s="28"/>
    </row>
    <row r="17" spans="1:10" s="21" customFormat="1" x14ac:dyDescent="0.25">
      <c r="A17" s="22">
        <v>2</v>
      </c>
      <c r="B17" s="23" t="s">
        <v>113</v>
      </c>
      <c r="C17" s="24" t="s">
        <v>23</v>
      </c>
      <c r="D17" s="25">
        <v>80</v>
      </c>
      <c r="E17" s="26">
        <f>17.55/117*100</f>
        <v>15</v>
      </c>
      <c r="F17" s="27">
        <f t="shared" si="0"/>
        <v>1200</v>
      </c>
      <c r="G17" s="27">
        <f t="shared" si="1"/>
        <v>204.00000000000003</v>
      </c>
      <c r="H17" s="39">
        <f t="shared" si="2"/>
        <v>17.549999999999997</v>
      </c>
      <c r="I17" s="27">
        <f t="shared" si="3"/>
        <v>1403.9999999999998</v>
      </c>
      <c r="J17" s="28"/>
    </row>
    <row r="18" spans="1:10" s="21" customFormat="1" x14ac:dyDescent="0.25">
      <c r="A18" s="22">
        <v>3</v>
      </c>
      <c r="B18" s="23" t="s">
        <v>114</v>
      </c>
      <c r="C18" s="24" t="s">
        <v>23</v>
      </c>
      <c r="D18" s="25">
        <v>18</v>
      </c>
      <c r="E18" s="26">
        <f>111.15/117*100</f>
        <v>95</v>
      </c>
      <c r="F18" s="27">
        <f t="shared" si="0"/>
        <v>1710</v>
      </c>
      <c r="G18" s="27">
        <f t="shared" si="1"/>
        <v>290.70000000000005</v>
      </c>
      <c r="H18" s="39">
        <f t="shared" si="2"/>
        <v>111.14999999999999</v>
      </c>
      <c r="I18" s="27">
        <f t="shared" si="3"/>
        <v>2000.6999999999998</v>
      </c>
      <c r="J18" s="28"/>
    </row>
    <row r="19" spans="1:10" s="21" customFormat="1" x14ac:dyDescent="0.25">
      <c r="A19" s="22">
        <v>4</v>
      </c>
      <c r="B19" s="23" t="s">
        <v>115</v>
      </c>
      <c r="C19" s="24" t="s">
        <v>23</v>
      </c>
      <c r="D19" s="25">
        <v>10</v>
      </c>
      <c r="E19" s="26">
        <f>152.1/117*100</f>
        <v>130</v>
      </c>
      <c r="F19" s="27">
        <f t="shared" si="0"/>
        <v>1300</v>
      </c>
      <c r="G19" s="27">
        <f t="shared" si="1"/>
        <v>221.00000000000003</v>
      </c>
      <c r="H19" s="39">
        <f t="shared" si="2"/>
        <v>152.1</v>
      </c>
      <c r="I19" s="27">
        <f t="shared" si="3"/>
        <v>1521</v>
      </c>
      <c r="J19" s="28"/>
    </row>
    <row r="20" spans="1:10" s="21" customFormat="1" x14ac:dyDescent="0.25">
      <c r="A20" s="22">
        <v>5</v>
      </c>
      <c r="B20" s="23" t="s">
        <v>116</v>
      </c>
      <c r="C20" s="24" t="s">
        <v>23</v>
      </c>
      <c r="D20" s="25">
        <v>18</v>
      </c>
      <c r="E20" s="26">
        <f>157.95/117*100</f>
        <v>135</v>
      </c>
      <c r="F20" s="27">
        <f t="shared" si="0"/>
        <v>2430</v>
      </c>
      <c r="G20" s="27">
        <f t="shared" si="1"/>
        <v>413.1</v>
      </c>
      <c r="H20" s="39">
        <f t="shared" si="2"/>
        <v>157.94999999999999</v>
      </c>
      <c r="I20" s="27">
        <f t="shared" si="3"/>
        <v>2843.1</v>
      </c>
      <c r="J20" s="28"/>
    </row>
    <row r="21" spans="1:10" s="21" customFormat="1" x14ac:dyDescent="0.25">
      <c r="A21" s="22">
        <v>6</v>
      </c>
      <c r="B21" s="23" t="s">
        <v>117</v>
      </c>
      <c r="C21" s="24" t="s">
        <v>23</v>
      </c>
      <c r="D21" s="25">
        <v>12</v>
      </c>
      <c r="E21" s="26">
        <f>84.24/117*100</f>
        <v>72</v>
      </c>
      <c r="F21" s="27">
        <f t="shared" si="0"/>
        <v>864</v>
      </c>
      <c r="G21" s="27">
        <f t="shared" si="1"/>
        <v>146.88000000000002</v>
      </c>
      <c r="H21" s="39">
        <f t="shared" si="2"/>
        <v>84.24</v>
      </c>
      <c r="I21" s="27">
        <f t="shared" si="3"/>
        <v>1010.8799999999999</v>
      </c>
      <c r="J21" s="28"/>
    </row>
    <row r="22" spans="1:10" s="21" customFormat="1" x14ac:dyDescent="0.25">
      <c r="A22" s="22">
        <v>7</v>
      </c>
      <c r="B22" s="23" t="s">
        <v>118</v>
      </c>
      <c r="C22" s="24" t="s">
        <v>23</v>
      </c>
      <c r="D22" s="25">
        <v>6</v>
      </c>
      <c r="E22" s="26">
        <f>87.75/117*100</f>
        <v>75</v>
      </c>
      <c r="F22" s="27">
        <f t="shared" si="0"/>
        <v>450</v>
      </c>
      <c r="G22" s="27">
        <f t="shared" si="1"/>
        <v>76.5</v>
      </c>
      <c r="H22" s="39">
        <f t="shared" si="2"/>
        <v>87.75</v>
      </c>
      <c r="I22" s="27">
        <f t="shared" si="3"/>
        <v>526.5</v>
      </c>
      <c r="J22" s="28"/>
    </row>
    <row r="23" spans="1:10" s="21" customFormat="1" x14ac:dyDescent="0.25">
      <c r="A23" s="22">
        <v>8</v>
      </c>
      <c r="B23" s="23" t="s">
        <v>119</v>
      </c>
      <c r="C23" s="24" t="s">
        <v>23</v>
      </c>
      <c r="D23" s="25">
        <v>12</v>
      </c>
      <c r="E23" s="26">
        <f>187.2/117*100</f>
        <v>160</v>
      </c>
      <c r="F23" s="27">
        <f t="shared" si="0"/>
        <v>1920</v>
      </c>
      <c r="G23" s="27">
        <f t="shared" si="1"/>
        <v>326.40000000000003</v>
      </c>
      <c r="H23" s="39">
        <f t="shared" si="2"/>
        <v>187.2</v>
      </c>
      <c r="I23" s="27">
        <f t="shared" si="3"/>
        <v>2246.3999999999996</v>
      </c>
      <c r="J23" s="28"/>
    </row>
    <row r="24" spans="1:10" s="21" customFormat="1" x14ac:dyDescent="0.25">
      <c r="A24" s="22">
        <v>9</v>
      </c>
      <c r="B24" s="23" t="s">
        <v>120</v>
      </c>
      <c r="C24" s="24" t="s">
        <v>23</v>
      </c>
      <c r="D24" s="25">
        <v>10</v>
      </c>
      <c r="E24" s="26">
        <f>234/117*100</f>
        <v>200</v>
      </c>
      <c r="F24" s="27">
        <f t="shared" si="0"/>
        <v>2000</v>
      </c>
      <c r="G24" s="27">
        <f t="shared" si="1"/>
        <v>340</v>
      </c>
      <c r="H24" s="39">
        <f t="shared" si="2"/>
        <v>234</v>
      </c>
      <c r="I24" s="27">
        <f t="shared" si="3"/>
        <v>2340</v>
      </c>
      <c r="J24" s="28"/>
    </row>
    <row r="25" spans="1:10" s="21" customFormat="1" x14ac:dyDescent="0.25">
      <c r="A25" s="22">
        <v>10</v>
      </c>
      <c r="B25" s="23" t="s">
        <v>121</v>
      </c>
      <c r="C25" s="24" t="s">
        <v>23</v>
      </c>
      <c r="D25" s="25">
        <v>5</v>
      </c>
      <c r="E25" s="26">
        <f>181.35/117*100</f>
        <v>155</v>
      </c>
      <c r="F25" s="27">
        <f t="shared" si="0"/>
        <v>775</v>
      </c>
      <c r="G25" s="27">
        <f t="shared" si="1"/>
        <v>131.75</v>
      </c>
      <c r="H25" s="39">
        <f t="shared" si="2"/>
        <v>181.35</v>
      </c>
      <c r="I25" s="27">
        <f t="shared" si="3"/>
        <v>906.75</v>
      </c>
      <c r="J25" s="28"/>
    </row>
    <row r="26" spans="1:10" s="21" customFormat="1" x14ac:dyDescent="0.25">
      <c r="A26" s="22">
        <v>11</v>
      </c>
      <c r="B26" s="23" t="s">
        <v>122</v>
      </c>
      <c r="C26" s="24" t="s">
        <v>23</v>
      </c>
      <c r="D26" s="25">
        <v>5</v>
      </c>
      <c r="E26" s="26">
        <f>122.85/117*100</f>
        <v>105</v>
      </c>
      <c r="F26" s="27">
        <f t="shared" si="0"/>
        <v>525</v>
      </c>
      <c r="G26" s="27">
        <f t="shared" si="1"/>
        <v>89.25</v>
      </c>
      <c r="H26" s="39">
        <f t="shared" si="2"/>
        <v>122.85</v>
      </c>
      <c r="I26" s="27">
        <f t="shared" si="3"/>
        <v>614.25</v>
      </c>
      <c r="J26" s="28"/>
    </row>
    <row r="27" spans="1:10" s="21" customFormat="1" x14ac:dyDescent="0.25">
      <c r="A27" s="29"/>
      <c r="B27" s="30"/>
      <c r="C27" s="31"/>
      <c r="D27" s="25"/>
      <c r="E27" s="26"/>
      <c r="F27" s="32"/>
      <c r="G27" s="32"/>
      <c r="H27" s="26"/>
      <c r="I27" s="32"/>
      <c r="J27" s="28"/>
    </row>
    <row r="28" spans="1:10" ht="15.75" thickBot="1" x14ac:dyDescent="0.3">
      <c r="A28" s="33"/>
      <c r="B28" s="34" t="s">
        <v>24</v>
      </c>
      <c r="C28" s="35"/>
      <c r="D28" s="36">
        <f>SUM(D16:D26)</f>
        <v>181</v>
      </c>
      <c r="E28" s="35"/>
      <c r="F28" s="36">
        <f>SUM(F16:F26)</f>
        <v>18424</v>
      </c>
      <c r="G28" s="36">
        <f>SUM(G16:G26)</f>
        <v>3132.0800000000004</v>
      </c>
      <c r="H28" s="35"/>
      <c r="I28" s="36">
        <f>SUM(I16:I26)</f>
        <v>21556.080000000002</v>
      </c>
      <c r="J28" s="37"/>
    </row>
    <row r="29" spans="1:10" ht="15.75" thickTop="1" x14ac:dyDescent="0.25">
      <c r="A29" s="33"/>
      <c r="B29" s="34" t="s">
        <v>123</v>
      </c>
      <c r="C29" s="35"/>
      <c r="D29" s="35"/>
      <c r="E29" s="35"/>
      <c r="F29" s="35"/>
      <c r="G29" s="35"/>
      <c r="H29" s="35"/>
      <c r="I29" s="35"/>
      <c r="J29" s="37"/>
    </row>
    <row r="30" spans="1:10" x14ac:dyDescent="0.25">
      <c r="A30" s="33"/>
      <c r="B30" s="38" t="s">
        <v>25</v>
      </c>
      <c r="C30" s="35"/>
      <c r="D30" s="35"/>
      <c r="E30" s="35"/>
      <c r="F30" s="35"/>
      <c r="G30" s="35"/>
      <c r="H30" s="35"/>
      <c r="I30" s="35"/>
      <c r="J30" s="37"/>
    </row>
    <row r="31" spans="1:10" ht="30" customHeight="1" x14ac:dyDescent="0.25">
      <c r="B31" s="183" t="s">
        <v>26</v>
      </c>
      <c r="C31" s="183"/>
      <c r="D31" s="183"/>
      <c r="E31" s="183"/>
      <c r="F31" s="183"/>
      <c r="G31" s="183"/>
      <c r="H31" s="183"/>
      <c r="I31" s="183"/>
      <c r="J31" s="183"/>
    </row>
    <row r="32" spans="1:10" x14ac:dyDescent="0.25">
      <c r="B32" t="s">
        <v>27</v>
      </c>
    </row>
    <row r="34" spans="2:8" x14ac:dyDescent="0.25">
      <c r="B34" t="s">
        <v>28</v>
      </c>
      <c r="H34" t="s">
        <v>28</v>
      </c>
    </row>
    <row r="35" spans="2:8" x14ac:dyDescent="0.25">
      <c r="B35" t="s">
        <v>29</v>
      </c>
      <c r="H35" t="s">
        <v>30</v>
      </c>
    </row>
  </sheetData>
  <mergeCells count="5">
    <mergeCell ref="A6:J6"/>
    <mergeCell ref="I7:J7"/>
    <mergeCell ref="I8:J8"/>
    <mergeCell ref="I9:J9"/>
    <mergeCell ref="B31:J31"/>
  </mergeCells>
  <hyperlinks>
    <hyperlink ref="H5" r:id="rId1" xr:uid="{00000000-0004-0000-5A00-000000000000}"/>
  </hyperlinks>
  <pageMargins left="0.2" right="0.1" top="0.25" bottom="0.25" header="0.3" footer="0.3"/>
  <pageSetup paperSize="9" orientation="portrait" r:id="rId2"/>
  <drawing r:id="rId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J25"/>
  <sheetViews>
    <sheetView workbookViewId="0">
      <selection activeCell="A21" sqref="A2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103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102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104</v>
      </c>
      <c r="D10" s="10"/>
      <c r="E10" s="10"/>
      <c r="F10" s="10"/>
    </row>
    <row r="11" spans="1:10" x14ac:dyDescent="0.25">
      <c r="B11" t="s">
        <v>11</v>
      </c>
      <c r="C11" s="10" t="s">
        <v>105</v>
      </c>
      <c r="D11" s="11"/>
      <c r="E11" s="11"/>
      <c r="F11" s="11"/>
    </row>
    <row r="12" spans="1:10" x14ac:dyDescent="0.25">
      <c r="A12" s="12"/>
      <c r="B12" s="13"/>
      <c r="C12" s="14" t="s">
        <v>106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107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108</v>
      </c>
      <c r="C16" s="24" t="s">
        <v>56</v>
      </c>
      <c r="D16" s="25">
        <v>20</v>
      </c>
      <c r="E16" s="26">
        <f>380/117*100</f>
        <v>324.78632478632477</v>
      </c>
      <c r="F16" s="27">
        <f>D16*E16</f>
        <v>6495.7264957264952</v>
      </c>
      <c r="G16" s="27">
        <f>F16*0.17</f>
        <v>1104.2735042735042</v>
      </c>
      <c r="H16" s="39">
        <f>E16*1.17</f>
        <v>379.99999999999994</v>
      </c>
      <c r="I16" s="27">
        <f>H16*D16</f>
        <v>7599.9999999999991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20</v>
      </c>
      <c r="E18" s="35"/>
      <c r="F18" s="36">
        <f>SUM(F16:F16)</f>
        <v>6495.7264957264952</v>
      </c>
      <c r="G18" s="36">
        <f>SUM(G16:G16)</f>
        <v>1104.2735042735042</v>
      </c>
      <c r="H18" s="35"/>
      <c r="I18" s="36">
        <f>SUM(I16:I16)</f>
        <v>7599.9999999999991</v>
      </c>
      <c r="J18" s="37"/>
    </row>
    <row r="19" spans="1:10" ht="15.75" thickTop="1" x14ac:dyDescent="0.25">
      <c r="A19" s="33"/>
      <c r="B19" s="34" t="s">
        <v>109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5B00-000000000000}"/>
  </hyperlinks>
  <pageMargins left="0.2" right="0.1" top="0.25" bottom="0.25" header="0.3" footer="0.3"/>
  <pageSetup paperSize="9" orientation="portrait" r:id="rId2"/>
  <drawing r:id="rId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J26"/>
  <sheetViews>
    <sheetView topLeftCell="A6" workbookViewId="0">
      <selection activeCell="A10" sqref="A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94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101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98</v>
      </c>
      <c r="C16" s="24" t="s">
        <v>23</v>
      </c>
      <c r="D16" s="25">
        <v>24</v>
      </c>
      <c r="E16" s="26">
        <v>100</v>
      </c>
      <c r="F16" s="27">
        <f>D16*E16</f>
        <v>2400</v>
      </c>
      <c r="G16" s="27">
        <f>F16*0.17</f>
        <v>408.00000000000006</v>
      </c>
      <c r="H16" s="39">
        <f>E16*1.17</f>
        <v>117</v>
      </c>
      <c r="I16" s="27">
        <f>H16*D16</f>
        <v>2808</v>
      </c>
      <c r="J16" s="28"/>
    </row>
    <row r="17" spans="1:10" s="21" customFormat="1" x14ac:dyDescent="0.25">
      <c r="A17" s="22">
        <v>2</v>
      </c>
      <c r="B17" s="23" t="s">
        <v>99</v>
      </c>
      <c r="C17" s="24" t="s">
        <v>23</v>
      </c>
      <c r="D17" s="25">
        <v>18</v>
      </c>
      <c r="E17" s="26">
        <v>80.34</v>
      </c>
      <c r="F17" s="27">
        <f>D17*E17</f>
        <v>1446.1200000000001</v>
      </c>
      <c r="G17" s="27">
        <f>F17*0.17</f>
        <v>245.84040000000005</v>
      </c>
      <c r="H17" s="39">
        <f>E17*1.17</f>
        <v>93.997799999999998</v>
      </c>
      <c r="I17" s="27">
        <f>H17*D17</f>
        <v>1691.9603999999999</v>
      </c>
      <c r="J17" s="28"/>
    </row>
    <row r="18" spans="1:10" s="21" customFormat="1" x14ac:dyDescent="0.25">
      <c r="A18" s="29"/>
      <c r="B18" s="30"/>
      <c r="C18" s="31"/>
      <c r="D18" s="25"/>
      <c r="E18" s="26"/>
      <c r="F18" s="32"/>
      <c r="G18" s="32"/>
      <c r="H18" s="26"/>
      <c r="I18" s="32"/>
      <c r="J18" s="28"/>
    </row>
    <row r="19" spans="1:10" ht="15.75" thickBot="1" x14ac:dyDescent="0.3">
      <c r="A19" s="33"/>
      <c r="B19" s="34" t="s">
        <v>24</v>
      </c>
      <c r="C19" s="35"/>
      <c r="D19" s="36">
        <f>SUM(D16:D17)</f>
        <v>42</v>
      </c>
      <c r="E19" s="35"/>
      <c r="F19" s="36">
        <f>SUM(F16:F17)</f>
        <v>3846.12</v>
      </c>
      <c r="G19" s="36">
        <f>SUM(G16:G17)</f>
        <v>653.84040000000005</v>
      </c>
      <c r="H19" s="35"/>
      <c r="I19" s="36">
        <f>SUM(I16:I17)</f>
        <v>4499.9603999999999</v>
      </c>
      <c r="J19" s="37"/>
    </row>
    <row r="20" spans="1:10" ht="15.75" thickTop="1" x14ac:dyDescent="0.25">
      <c r="A20" s="33"/>
      <c r="B20" s="34" t="s">
        <v>100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27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mergeCells count="5">
    <mergeCell ref="A6:J6"/>
    <mergeCell ref="I7:J7"/>
    <mergeCell ref="I8:J8"/>
    <mergeCell ref="I9:J9"/>
    <mergeCell ref="B22:J22"/>
  </mergeCells>
  <hyperlinks>
    <hyperlink ref="H5" r:id="rId1" xr:uid="{00000000-0004-0000-5C00-000000000000}"/>
  </hyperlinks>
  <pageMargins left="0.2" right="0.1" top="0.25" bottom="0.25" header="0.3" footer="0.3"/>
  <pageSetup paperSize="9" orientation="portrait" r:id="rId2"/>
  <drawing r:id="rId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J25"/>
  <sheetViews>
    <sheetView topLeftCell="A6" workbookViewId="0">
      <selection activeCell="B17" sqref="B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94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95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96</v>
      </c>
      <c r="C16" s="24" t="s">
        <v>23</v>
      </c>
      <c r="D16" s="25">
        <v>20</v>
      </c>
      <c r="E16" s="26">
        <v>149.57</v>
      </c>
      <c r="F16" s="27">
        <f>D16*E16</f>
        <v>2991.3999999999996</v>
      </c>
      <c r="G16" s="27">
        <f>F16*0.17</f>
        <v>508.53799999999995</v>
      </c>
      <c r="H16" s="39">
        <f>E16*1.17</f>
        <v>174.99689999999998</v>
      </c>
      <c r="I16" s="27">
        <f>H16*D16</f>
        <v>3499.9379999999996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20</v>
      </c>
      <c r="E18" s="35"/>
      <c r="F18" s="36">
        <f>SUM(F16:F16)</f>
        <v>2991.3999999999996</v>
      </c>
      <c r="G18" s="36">
        <f>SUM(G16:G16)</f>
        <v>508.53799999999995</v>
      </c>
      <c r="H18" s="35"/>
      <c r="I18" s="36">
        <f>SUM(I16:I16)</f>
        <v>3499.9379999999996</v>
      </c>
      <c r="J18" s="37"/>
    </row>
    <row r="19" spans="1:10" ht="15.75" thickTop="1" x14ac:dyDescent="0.25">
      <c r="A19" s="33"/>
      <c r="B19" s="34" t="s">
        <v>97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5D00-000000000000}"/>
  </hyperlinks>
  <pageMargins left="0.2" right="0.1" top="0.25" bottom="0.25" header="0.3" footer="0.3"/>
  <pageSetup paperSize="9" orientation="portrait" r:id="rId2"/>
  <drawing r:id="rId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J25"/>
  <sheetViews>
    <sheetView topLeftCell="A6" workbookViewId="0">
      <selection activeCell="B20" sqref="B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94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93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39" thickTop="1" x14ac:dyDescent="0.25">
      <c r="A16" s="22">
        <v>1</v>
      </c>
      <c r="B16" s="23" t="s">
        <v>58</v>
      </c>
      <c r="C16" s="24" t="s">
        <v>23</v>
      </c>
      <c r="D16" s="25">
        <v>1</v>
      </c>
      <c r="E16" s="26">
        <v>1400</v>
      </c>
      <c r="F16" s="27">
        <f>D16*E16</f>
        <v>1400</v>
      </c>
      <c r="G16" s="27">
        <f>F16*0.17</f>
        <v>238.00000000000003</v>
      </c>
      <c r="H16" s="39">
        <f>E16*1.17</f>
        <v>1638</v>
      </c>
      <c r="I16" s="27">
        <f>H16*D16</f>
        <v>1638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1</v>
      </c>
      <c r="E18" s="35"/>
      <c r="F18" s="36">
        <f>SUM(F16:F16)</f>
        <v>1400</v>
      </c>
      <c r="G18" s="36">
        <f>SUM(G16:G16)</f>
        <v>238.00000000000003</v>
      </c>
      <c r="H18" s="35"/>
      <c r="I18" s="36">
        <f>SUM(I16:I16)</f>
        <v>1638</v>
      </c>
      <c r="J18" s="37"/>
    </row>
    <row r="19" spans="1:10" ht="15.75" thickTop="1" x14ac:dyDescent="0.25">
      <c r="A19" s="33"/>
      <c r="B19" s="34" t="s">
        <v>59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5E00-000000000000}"/>
  </hyperlinks>
  <pageMargins left="0.2" right="0.1" top="0.25" bottom="0.25" header="0.3" footer="0.3"/>
  <pageSetup paperSize="9" orientation="portrait" r:id="rId2"/>
  <drawing r:id="rId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J25"/>
  <sheetViews>
    <sheetView topLeftCell="A6" workbookViewId="0">
      <selection activeCell="M15" sqref="M1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89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90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91</v>
      </c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39" thickTop="1" x14ac:dyDescent="0.25">
      <c r="A16" s="22">
        <v>1</v>
      </c>
      <c r="B16" s="23" t="s">
        <v>58</v>
      </c>
      <c r="C16" s="24" t="s">
        <v>23</v>
      </c>
      <c r="D16" s="25">
        <v>2</v>
      </c>
      <c r="E16" s="26">
        <v>1400</v>
      </c>
      <c r="F16" s="27">
        <f>D16*E16</f>
        <v>2800</v>
      </c>
      <c r="G16" s="27">
        <f>F16*0.17</f>
        <v>476.00000000000006</v>
      </c>
      <c r="H16" s="39">
        <f>E16*1.17</f>
        <v>1638</v>
      </c>
      <c r="I16" s="27">
        <f>H16*D16</f>
        <v>3276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2</v>
      </c>
      <c r="E18" s="35"/>
      <c r="F18" s="36">
        <f>SUM(F16:F16)</f>
        <v>2800</v>
      </c>
      <c r="G18" s="36">
        <f>SUM(G16:G16)</f>
        <v>476.00000000000006</v>
      </c>
      <c r="H18" s="35"/>
      <c r="I18" s="36">
        <f>SUM(I16:I16)</f>
        <v>3276</v>
      </c>
      <c r="J18" s="37"/>
    </row>
    <row r="19" spans="1:10" ht="15.75" thickTop="1" x14ac:dyDescent="0.25">
      <c r="A19" s="33"/>
      <c r="B19" s="34" t="s">
        <v>92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5F00-000000000000}"/>
  </hyperlinks>
  <pageMargins left="0.2" right="0.1" top="0.25" bottom="0.25" header="0.3" footer="0.3"/>
  <pageSetup paperSize="9" orientation="portrait" r:id="rId2"/>
  <drawing r:id="rId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J25"/>
  <sheetViews>
    <sheetView workbookViewId="0">
      <selection activeCell="A13" sqref="A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81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85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86</v>
      </c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87</v>
      </c>
      <c r="C16" s="24" t="s">
        <v>23</v>
      </c>
      <c r="D16" s="25">
        <v>20</v>
      </c>
      <c r="E16" s="26">
        <f>105/117*100</f>
        <v>89.743589743589752</v>
      </c>
      <c r="F16" s="27">
        <f>D16*E16</f>
        <v>1794.8717948717949</v>
      </c>
      <c r="G16" s="27">
        <f>F16*0.17</f>
        <v>305.12820512820514</v>
      </c>
      <c r="H16" s="39">
        <f>E16*1.17</f>
        <v>105</v>
      </c>
      <c r="I16" s="27">
        <f>H16*D16</f>
        <v>2100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20</v>
      </c>
      <c r="E18" s="35"/>
      <c r="F18" s="36">
        <f>SUM(F16:F16)</f>
        <v>1794.8717948717949</v>
      </c>
      <c r="G18" s="36">
        <f>SUM(G16:G16)</f>
        <v>305.12820512820514</v>
      </c>
      <c r="H18" s="35"/>
      <c r="I18" s="36">
        <f>SUM(I16:I16)</f>
        <v>2100</v>
      </c>
      <c r="J18" s="37"/>
    </row>
    <row r="19" spans="1:10" ht="15.75" thickTop="1" x14ac:dyDescent="0.25">
      <c r="A19" s="33"/>
      <c r="B19" s="34" t="s">
        <v>88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6000-000000000000}"/>
  </hyperlinks>
  <pageMargins left="0.2" right="0.1" top="0.25" bottom="0.25" header="0.3" footer="0.3"/>
  <pageSetup paperSize="9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34927-96E2-4524-890D-AB3517DACE5E}">
  <dimension ref="A1:R26"/>
  <sheetViews>
    <sheetView topLeftCell="A5" workbookViewId="0">
      <selection activeCell="A20" sqref="A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2230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2229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2231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x14ac:dyDescent="0.25">
      <c r="A16" s="53">
        <v>1</v>
      </c>
      <c r="B16" s="78" t="s">
        <v>2232</v>
      </c>
      <c r="C16" s="53" t="s">
        <v>23</v>
      </c>
      <c r="D16" s="79">
        <v>90</v>
      </c>
      <c r="E16" s="82">
        <v>95</v>
      </c>
      <c r="F16" s="56">
        <f t="shared" ref="F16:F17" si="0">D16*E16</f>
        <v>8550</v>
      </c>
      <c r="G16" s="56">
        <f>F16*0.17</f>
        <v>1453.5</v>
      </c>
      <c r="H16" s="129">
        <f>E16*1.17</f>
        <v>111.14999999999999</v>
      </c>
      <c r="I16" s="56">
        <f t="shared" ref="I16:I17" si="1">H16*D16</f>
        <v>10003.5</v>
      </c>
      <c r="J16" s="131" t="s">
        <v>1760</v>
      </c>
      <c r="M16" s="21">
        <f t="shared" ref="M16:M17" si="2">440*1.02</f>
        <v>448.8</v>
      </c>
      <c r="N16" s="66" t="e">
        <f>M16-#REF!</f>
        <v>#REF!</v>
      </c>
      <c r="O16" s="21" t="e">
        <f t="shared" ref="O16:O17" si="3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si="0"/>
        <v>0</v>
      </c>
      <c r="G17" s="56">
        <f t="shared" ref="G17" si="4">F17*0.17</f>
        <v>0</v>
      </c>
      <c r="H17" s="57">
        <f t="shared" ref="H17" si="5">E17*1.17</f>
        <v>0</v>
      </c>
      <c r="I17" s="56">
        <f t="shared" si="1"/>
        <v>0</v>
      </c>
      <c r="J17" s="58"/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90</v>
      </c>
      <c r="E18" s="35"/>
      <c r="F18" s="62">
        <f>SUM(F16:F17)</f>
        <v>8550</v>
      </c>
      <c r="G18" s="62">
        <f>SUM(G16:G17)</f>
        <v>1453.5</v>
      </c>
      <c r="H18" s="35"/>
      <c r="I18" s="62">
        <f>SUM(I16:I17)</f>
        <v>10003.5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2305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089F25AA-A99E-4C05-8CEA-0054CD2AC82D}"/>
  </hyperlinks>
  <pageMargins left="0.2" right="0.1" top="0.25" bottom="0.25" header="0.3" footer="0.3"/>
  <pageSetup paperSize="9" orientation="portrait" r:id="rId2"/>
  <drawing r:id="rId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J25"/>
  <sheetViews>
    <sheetView topLeftCell="A4" workbookViewId="0">
      <selection activeCell="B20" sqref="B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81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83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84</v>
      </c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39" thickTop="1" x14ac:dyDescent="0.25">
      <c r="A16" s="22">
        <v>1</v>
      </c>
      <c r="B16" s="23" t="s">
        <v>58</v>
      </c>
      <c r="C16" s="24" t="s">
        <v>23</v>
      </c>
      <c r="D16" s="25">
        <v>1</v>
      </c>
      <c r="E16" s="26">
        <v>1400</v>
      </c>
      <c r="F16" s="27">
        <f>D16*E16</f>
        <v>1400</v>
      </c>
      <c r="G16" s="27">
        <f>F16*0.17</f>
        <v>238.00000000000003</v>
      </c>
      <c r="H16" s="39">
        <f>E16*1.17</f>
        <v>1638</v>
      </c>
      <c r="I16" s="27">
        <f>H16*D16</f>
        <v>1638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1</v>
      </c>
      <c r="E18" s="35"/>
      <c r="F18" s="36">
        <f>SUM(F16:F16)</f>
        <v>1400</v>
      </c>
      <c r="G18" s="36">
        <f>SUM(G16:G16)</f>
        <v>238.00000000000003</v>
      </c>
      <c r="H18" s="35"/>
      <c r="I18" s="36">
        <f>SUM(I16:I16)</f>
        <v>1638</v>
      </c>
      <c r="J18" s="37"/>
    </row>
    <row r="19" spans="1:10" ht="15.75" thickTop="1" x14ac:dyDescent="0.25">
      <c r="A19" s="33"/>
      <c r="B19" s="34" t="s">
        <v>59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6100-000000000000}"/>
  </hyperlinks>
  <pageMargins left="0.2" right="0.1" top="0.25" bottom="0.25" header="0.3" footer="0.3"/>
  <pageSetup paperSize="9" orientation="portrait" r:id="rId2"/>
  <drawing r:id="rId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J25"/>
  <sheetViews>
    <sheetView workbookViewId="0">
      <selection activeCell="J10" sqref="J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81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80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82</v>
      </c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65</v>
      </c>
      <c r="C16" s="24" t="s">
        <v>56</v>
      </c>
      <c r="D16" s="25">
        <v>80</v>
      </c>
      <c r="E16" s="26">
        <f>495/117*100</f>
        <v>423.07692307692309</v>
      </c>
      <c r="F16" s="27">
        <f>D16*E16</f>
        <v>33846.153846153844</v>
      </c>
      <c r="G16" s="27">
        <f>F16*0.17</f>
        <v>5753.8461538461543</v>
      </c>
      <c r="H16" s="39">
        <f>E16*1.17</f>
        <v>495</v>
      </c>
      <c r="I16" s="27">
        <f>H16*D16</f>
        <v>39600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80</v>
      </c>
      <c r="E18" s="35"/>
      <c r="F18" s="36">
        <f>SUM(F16:F16)</f>
        <v>33846.153846153844</v>
      </c>
      <c r="G18" s="36">
        <f>SUM(G16:G16)</f>
        <v>5753.8461538461543</v>
      </c>
      <c r="H18" s="35"/>
      <c r="I18" s="36">
        <f>SUM(I16:I16)</f>
        <v>39600</v>
      </c>
      <c r="J18" s="37"/>
    </row>
    <row r="19" spans="1:10" ht="15.75" thickTop="1" x14ac:dyDescent="0.25">
      <c r="A19" s="33"/>
      <c r="B19" s="34" t="s">
        <v>79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6200-000000000000}"/>
  </hyperlinks>
  <pageMargins left="0.2" right="0.1" top="0.25" bottom="0.25" header="0.3" footer="0.3"/>
  <pageSetup paperSize="9" orientation="portrait" r:id="rId2"/>
  <drawing r:id="rId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J33"/>
  <sheetViews>
    <sheetView topLeftCell="A10" workbookViewId="0">
      <selection activeCell="B29" sqref="B29:J2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62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77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78</v>
      </c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67</v>
      </c>
      <c r="C16" s="24" t="s">
        <v>23</v>
      </c>
      <c r="D16" s="25">
        <v>50</v>
      </c>
      <c r="E16" s="26">
        <f>87.7/117*100</f>
        <v>74.957264957264954</v>
      </c>
      <c r="F16" s="27">
        <f>D16*E16</f>
        <v>3747.8632478632476</v>
      </c>
      <c r="G16" s="27">
        <f>F16*0.17</f>
        <v>637.13675213675208</v>
      </c>
      <c r="H16" s="39">
        <f>E16*1.17</f>
        <v>87.699999999999989</v>
      </c>
      <c r="I16" s="27">
        <f>H16*D16</f>
        <v>4384.9999999999991</v>
      </c>
      <c r="J16" s="28"/>
    </row>
    <row r="17" spans="1:10" s="21" customFormat="1" x14ac:dyDescent="0.25">
      <c r="A17" s="22">
        <v>2</v>
      </c>
      <c r="B17" s="23" t="s">
        <v>68</v>
      </c>
      <c r="C17" s="24" t="s">
        <v>23</v>
      </c>
      <c r="D17" s="25">
        <v>8</v>
      </c>
      <c r="E17" s="26">
        <f>187.2/117*100</f>
        <v>160</v>
      </c>
      <c r="F17" s="27">
        <f t="shared" ref="F17:F24" si="0">D17*E17</f>
        <v>1280</v>
      </c>
      <c r="G17" s="27">
        <f t="shared" ref="G17:G24" si="1">F17*0.17</f>
        <v>217.60000000000002</v>
      </c>
      <c r="H17" s="39">
        <f t="shared" ref="H17:H24" si="2">E17*1.17</f>
        <v>187.2</v>
      </c>
      <c r="I17" s="27">
        <f t="shared" ref="I17:I24" si="3">H17*D17</f>
        <v>1497.6</v>
      </c>
      <c r="J17" s="28"/>
    </row>
    <row r="18" spans="1:10" s="21" customFormat="1" x14ac:dyDescent="0.25">
      <c r="A18" s="22">
        <v>3</v>
      </c>
      <c r="B18" s="23" t="s">
        <v>69</v>
      </c>
      <c r="C18" s="24" t="s">
        <v>76</v>
      </c>
      <c r="D18" s="25">
        <v>10</v>
      </c>
      <c r="E18" s="26">
        <v>70</v>
      </c>
      <c r="F18" s="27">
        <f t="shared" si="0"/>
        <v>700</v>
      </c>
      <c r="G18" s="27">
        <f>F18*0</f>
        <v>0</v>
      </c>
      <c r="H18" s="39">
        <f>E18*1</f>
        <v>70</v>
      </c>
      <c r="I18" s="27">
        <f t="shared" si="3"/>
        <v>700</v>
      </c>
      <c r="J18" s="28"/>
    </row>
    <row r="19" spans="1:10" s="21" customFormat="1" x14ac:dyDescent="0.25">
      <c r="A19" s="22">
        <v>4</v>
      </c>
      <c r="B19" s="23" t="s">
        <v>70</v>
      </c>
      <c r="C19" s="24" t="s">
        <v>23</v>
      </c>
      <c r="D19" s="25">
        <v>20</v>
      </c>
      <c r="E19" s="26">
        <f>52.6/117*100</f>
        <v>44.957264957264961</v>
      </c>
      <c r="F19" s="27">
        <f t="shared" si="0"/>
        <v>899.14529914529919</v>
      </c>
      <c r="G19" s="27">
        <f t="shared" si="1"/>
        <v>152.85470085470087</v>
      </c>
      <c r="H19" s="39">
        <f t="shared" si="2"/>
        <v>52.6</v>
      </c>
      <c r="I19" s="27">
        <f t="shared" si="3"/>
        <v>1052</v>
      </c>
      <c r="J19" s="28"/>
    </row>
    <row r="20" spans="1:10" s="21" customFormat="1" x14ac:dyDescent="0.25">
      <c r="A20" s="22">
        <v>5</v>
      </c>
      <c r="B20" s="23" t="s">
        <v>71</v>
      </c>
      <c r="C20" s="24" t="s">
        <v>23</v>
      </c>
      <c r="D20" s="25">
        <v>100</v>
      </c>
      <c r="E20" s="26">
        <f>18.72/117*100</f>
        <v>16</v>
      </c>
      <c r="F20" s="27">
        <f t="shared" si="0"/>
        <v>1600</v>
      </c>
      <c r="G20" s="27">
        <f t="shared" si="1"/>
        <v>272</v>
      </c>
      <c r="H20" s="39">
        <f t="shared" si="2"/>
        <v>18.72</v>
      </c>
      <c r="I20" s="27">
        <f t="shared" si="3"/>
        <v>1872</v>
      </c>
      <c r="J20" s="28"/>
    </row>
    <row r="21" spans="1:10" s="21" customFormat="1" x14ac:dyDescent="0.25">
      <c r="A21" s="22">
        <v>6</v>
      </c>
      <c r="B21" s="23" t="s">
        <v>72</v>
      </c>
      <c r="C21" s="24" t="s">
        <v>23</v>
      </c>
      <c r="D21" s="25">
        <v>12</v>
      </c>
      <c r="E21" s="26">
        <f>52/117*100</f>
        <v>44.444444444444443</v>
      </c>
      <c r="F21" s="27">
        <f t="shared" si="0"/>
        <v>533.33333333333326</v>
      </c>
      <c r="G21" s="27">
        <f t="shared" si="1"/>
        <v>90.666666666666657</v>
      </c>
      <c r="H21" s="39">
        <f t="shared" si="2"/>
        <v>51.999999999999993</v>
      </c>
      <c r="I21" s="27">
        <f t="shared" si="3"/>
        <v>623.99999999999989</v>
      </c>
      <c r="J21" s="28"/>
    </row>
    <row r="22" spans="1:10" s="21" customFormat="1" x14ac:dyDescent="0.25">
      <c r="A22" s="22">
        <v>7</v>
      </c>
      <c r="B22" s="23" t="s">
        <v>73</v>
      </c>
      <c r="C22" s="24" t="s">
        <v>76</v>
      </c>
      <c r="D22" s="25">
        <v>5</v>
      </c>
      <c r="E22" s="26">
        <f>222/117*100</f>
        <v>189.74358974358972</v>
      </c>
      <c r="F22" s="27">
        <f t="shared" si="0"/>
        <v>948.71794871794862</v>
      </c>
      <c r="G22" s="27">
        <f t="shared" si="1"/>
        <v>161.28205128205127</v>
      </c>
      <c r="H22" s="39">
        <f t="shared" si="2"/>
        <v>221.99999999999997</v>
      </c>
      <c r="I22" s="27">
        <f t="shared" si="3"/>
        <v>1109.9999999999998</v>
      </c>
      <c r="J22" s="28"/>
    </row>
    <row r="23" spans="1:10" s="21" customFormat="1" x14ac:dyDescent="0.25">
      <c r="A23" s="22">
        <v>8</v>
      </c>
      <c r="B23" s="23" t="s">
        <v>74</v>
      </c>
      <c r="C23" s="24" t="s">
        <v>23</v>
      </c>
      <c r="D23" s="25">
        <v>50</v>
      </c>
      <c r="E23" s="26">
        <f>46.8/117*100</f>
        <v>40</v>
      </c>
      <c r="F23" s="27">
        <f t="shared" si="0"/>
        <v>2000</v>
      </c>
      <c r="G23" s="27">
        <f t="shared" si="1"/>
        <v>340</v>
      </c>
      <c r="H23" s="39">
        <f t="shared" si="2"/>
        <v>46.8</v>
      </c>
      <c r="I23" s="27">
        <f t="shared" si="3"/>
        <v>2340</v>
      </c>
      <c r="J23" s="28"/>
    </row>
    <row r="24" spans="1:10" s="21" customFormat="1" x14ac:dyDescent="0.25">
      <c r="A24" s="22">
        <v>9</v>
      </c>
      <c r="B24" s="23" t="s">
        <v>75</v>
      </c>
      <c r="C24" s="24" t="s">
        <v>23</v>
      </c>
      <c r="D24" s="25">
        <v>25</v>
      </c>
      <c r="E24" s="26">
        <f>105/117*100</f>
        <v>89.743589743589752</v>
      </c>
      <c r="F24" s="27">
        <f t="shared" si="0"/>
        <v>2243.5897435897436</v>
      </c>
      <c r="G24" s="27">
        <f t="shared" si="1"/>
        <v>381.41025641025647</v>
      </c>
      <c r="H24" s="39">
        <f t="shared" si="2"/>
        <v>105</v>
      </c>
      <c r="I24" s="27">
        <f t="shared" si="3"/>
        <v>2625</v>
      </c>
      <c r="J24" s="28"/>
    </row>
    <row r="25" spans="1:10" s="21" customFormat="1" x14ac:dyDescent="0.25">
      <c r="A25" s="29"/>
      <c r="B25" s="30"/>
      <c r="C25" s="31"/>
      <c r="D25" s="25"/>
      <c r="E25" s="26"/>
      <c r="F25" s="32"/>
      <c r="G25" s="32"/>
      <c r="H25" s="26"/>
      <c r="I25" s="32"/>
      <c r="J25" s="28"/>
    </row>
    <row r="26" spans="1:10" ht="15.75" thickBot="1" x14ac:dyDescent="0.3">
      <c r="A26" s="33"/>
      <c r="B26" s="34" t="s">
        <v>24</v>
      </c>
      <c r="C26" s="35"/>
      <c r="D26" s="36">
        <f>SUM(D16:D24)</f>
        <v>280</v>
      </c>
      <c r="E26" s="35"/>
      <c r="F26" s="36">
        <f>SUM(F16:F24)</f>
        <v>13952.649572649574</v>
      </c>
      <c r="G26" s="36">
        <f>SUM(G16:G24)</f>
        <v>2252.9504273504276</v>
      </c>
      <c r="H26" s="35"/>
      <c r="I26" s="36">
        <f>SUM(I16:I24)</f>
        <v>16205.599999999999</v>
      </c>
      <c r="J26" s="37"/>
    </row>
    <row r="27" spans="1:10" ht="15.75" thickTop="1" x14ac:dyDescent="0.25">
      <c r="A27" s="33"/>
      <c r="B27" s="34" t="s">
        <v>124</v>
      </c>
      <c r="C27" s="35"/>
      <c r="D27" s="35"/>
      <c r="E27" s="35"/>
      <c r="F27" s="35"/>
      <c r="G27" s="35"/>
      <c r="H27" s="35"/>
      <c r="I27" s="35"/>
      <c r="J27" s="37"/>
    </row>
    <row r="28" spans="1:10" x14ac:dyDescent="0.25">
      <c r="A28" s="33"/>
      <c r="B28" s="38" t="s">
        <v>25</v>
      </c>
      <c r="C28" s="35"/>
      <c r="D28" s="35"/>
      <c r="E28" s="35"/>
      <c r="F28" s="35"/>
      <c r="G28" s="35"/>
      <c r="H28" s="35"/>
      <c r="I28" s="35"/>
      <c r="J28" s="37"/>
    </row>
    <row r="29" spans="1:10" ht="30" customHeight="1" x14ac:dyDescent="0.25">
      <c r="B29" s="183" t="s">
        <v>26</v>
      </c>
      <c r="C29" s="183"/>
      <c r="D29" s="183"/>
      <c r="E29" s="183"/>
      <c r="F29" s="183"/>
      <c r="G29" s="183"/>
      <c r="H29" s="183"/>
      <c r="I29" s="183"/>
      <c r="J29" s="183"/>
    </row>
    <row r="30" spans="1:10" x14ac:dyDescent="0.25">
      <c r="B30" t="s">
        <v>27</v>
      </c>
    </row>
    <row r="32" spans="1:10" x14ac:dyDescent="0.25">
      <c r="B32" t="s">
        <v>28</v>
      </c>
      <c r="H32" t="s">
        <v>28</v>
      </c>
    </row>
    <row r="33" spans="2:8" x14ac:dyDescent="0.25">
      <c r="B33" t="s">
        <v>29</v>
      </c>
      <c r="H33" t="s">
        <v>30</v>
      </c>
    </row>
  </sheetData>
  <mergeCells count="5">
    <mergeCell ref="A6:J6"/>
    <mergeCell ref="I7:J7"/>
    <mergeCell ref="I8:J8"/>
    <mergeCell ref="I9:J9"/>
    <mergeCell ref="B29:J29"/>
  </mergeCells>
  <hyperlinks>
    <hyperlink ref="H5" r:id="rId1" xr:uid="{00000000-0004-0000-6300-000000000000}"/>
  </hyperlinks>
  <pageMargins left="0.2" right="0.1" top="0.25" bottom="0.25" header="0.3" footer="0.3"/>
  <pageSetup paperSize="9" orientation="portrait" r:id="rId2"/>
  <drawing r:id="rId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J25"/>
  <sheetViews>
    <sheetView workbookViewId="0">
      <selection activeCell="A19" sqref="A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62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63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 t="s">
        <v>64</v>
      </c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65</v>
      </c>
      <c r="C16" s="24" t="s">
        <v>56</v>
      </c>
      <c r="D16" s="25">
        <v>50</v>
      </c>
      <c r="E16" s="26">
        <f>495/117*100</f>
        <v>423.07692307692309</v>
      </c>
      <c r="F16" s="27">
        <f>D16*E16</f>
        <v>21153.846153846156</v>
      </c>
      <c r="G16" s="27">
        <f>F16*0.17</f>
        <v>3596.1538461538466</v>
      </c>
      <c r="H16" s="39">
        <f>E16*1.17</f>
        <v>495</v>
      </c>
      <c r="I16" s="27">
        <f>H16*D16</f>
        <v>24750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50</v>
      </c>
      <c r="E18" s="35"/>
      <c r="F18" s="36">
        <f>SUM(F16:F16)</f>
        <v>21153.846153846156</v>
      </c>
      <c r="G18" s="36">
        <f>SUM(G16:G16)</f>
        <v>3596.1538461538466</v>
      </c>
      <c r="H18" s="35"/>
      <c r="I18" s="36">
        <f>SUM(I16:I16)</f>
        <v>24750</v>
      </c>
      <c r="J18" s="37"/>
    </row>
    <row r="19" spans="1:10" ht="15.75" thickTop="1" x14ac:dyDescent="0.25">
      <c r="A19" s="33"/>
      <c r="B19" s="34" t="s">
        <v>66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6400-000000000000}"/>
  </hyperlinks>
  <pageMargins left="0.2" right="0.1" top="0.25" bottom="0.25" header="0.3" footer="0.3"/>
  <pageSetup paperSize="9" orientation="portrait" r:id="rId2"/>
  <drawing r:id="rId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J25"/>
  <sheetViews>
    <sheetView topLeftCell="A7" workbookViewId="0">
      <selection activeCell="B16" sqref="B16:E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61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60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39" thickTop="1" x14ac:dyDescent="0.25">
      <c r="A16" s="22">
        <v>1</v>
      </c>
      <c r="B16" s="23" t="s">
        <v>58</v>
      </c>
      <c r="C16" s="24" t="s">
        <v>23</v>
      </c>
      <c r="D16" s="25">
        <v>1</v>
      </c>
      <c r="E16" s="26">
        <v>1400</v>
      </c>
      <c r="F16" s="27">
        <f>D16*E16</f>
        <v>1400</v>
      </c>
      <c r="G16" s="27">
        <f>F16*0.17</f>
        <v>238.00000000000003</v>
      </c>
      <c r="H16" s="39">
        <f>E16*1.17</f>
        <v>1638</v>
      </c>
      <c r="I16" s="27">
        <f>H16*D16</f>
        <v>1638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1</v>
      </c>
      <c r="E18" s="35"/>
      <c r="F18" s="36">
        <f>SUM(F16:F16)</f>
        <v>1400</v>
      </c>
      <c r="G18" s="36">
        <f>SUM(G16:G16)</f>
        <v>238.00000000000003</v>
      </c>
      <c r="H18" s="35"/>
      <c r="I18" s="36">
        <f>SUM(I16:I16)</f>
        <v>1638</v>
      </c>
      <c r="J18" s="37"/>
    </row>
    <row r="19" spans="1:10" ht="15.75" thickTop="1" x14ac:dyDescent="0.25">
      <c r="A19" s="33"/>
      <c r="B19" s="34" t="s">
        <v>59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6500-000000000000}"/>
  </hyperlinks>
  <pageMargins left="0.2" right="0.1" top="0.25" bottom="0.25" header="0.3" footer="0.3"/>
  <pageSetup paperSize="9" orientation="portrait" r:id="rId2"/>
  <drawing r:id="rId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J25"/>
  <sheetViews>
    <sheetView workbookViewId="0"/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50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49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51</v>
      </c>
      <c r="D10" s="10"/>
      <c r="E10" s="10"/>
      <c r="F10" s="10"/>
    </row>
    <row r="11" spans="1:10" x14ac:dyDescent="0.25">
      <c r="B11" t="s">
        <v>11</v>
      </c>
      <c r="C11" s="10" t="s">
        <v>53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54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26.25" thickTop="1" x14ac:dyDescent="0.25">
      <c r="A16" s="22">
        <v>1</v>
      </c>
      <c r="B16" s="23" t="s">
        <v>55</v>
      </c>
      <c r="C16" s="24" t="s">
        <v>56</v>
      </c>
      <c r="D16" s="25">
        <v>25</v>
      </c>
      <c r="E16" s="26">
        <v>311.9658</v>
      </c>
      <c r="F16" s="27">
        <f>D16*E16</f>
        <v>7799.1450000000004</v>
      </c>
      <c r="G16" s="27">
        <f>F16*0.17</f>
        <v>1325.8546500000002</v>
      </c>
      <c r="H16" s="26">
        <f>E16*1.17</f>
        <v>364.99998599999998</v>
      </c>
      <c r="I16" s="27">
        <f>H16*D16</f>
        <v>9124.9996499999997</v>
      </c>
      <c r="J16" s="28"/>
    </row>
    <row r="17" spans="1:10" s="21" customFormat="1" x14ac:dyDescent="0.25">
      <c r="A17" s="29"/>
      <c r="B17" s="30"/>
      <c r="C17" s="31"/>
      <c r="D17" s="25"/>
      <c r="E17" s="26"/>
      <c r="F17" s="32"/>
      <c r="G17" s="32"/>
      <c r="H17" s="26"/>
      <c r="I17" s="32"/>
      <c r="J17" s="28"/>
    </row>
    <row r="18" spans="1:10" ht="15.75" thickBot="1" x14ac:dyDescent="0.3">
      <c r="A18" s="33"/>
      <c r="B18" s="34" t="s">
        <v>24</v>
      </c>
      <c r="C18" s="35"/>
      <c r="D18" s="36">
        <f>SUM(D16:D16)</f>
        <v>25</v>
      </c>
      <c r="E18" s="35"/>
      <c r="F18" s="36">
        <f>SUM(F16:F16)</f>
        <v>7799.1450000000004</v>
      </c>
      <c r="G18" s="36">
        <f>SUM(G16:G16)</f>
        <v>1325.8546500000002</v>
      </c>
      <c r="H18" s="35"/>
      <c r="I18" s="36">
        <f>SUM(I16:I16)</f>
        <v>9124.9996499999997</v>
      </c>
      <c r="J18" s="37"/>
    </row>
    <row r="19" spans="1:10" ht="15.75" thickTop="1" x14ac:dyDescent="0.25">
      <c r="A19" s="33"/>
      <c r="B19" s="34" t="s">
        <v>57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27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mergeCells count="5">
    <mergeCell ref="A6:J6"/>
    <mergeCell ref="I7:J7"/>
    <mergeCell ref="I8:J8"/>
    <mergeCell ref="I9:J9"/>
    <mergeCell ref="B21:J21"/>
  </mergeCells>
  <hyperlinks>
    <hyperlink ref="H5" r:id="rId1" xr:uid="{00000000-0004-0000-6600-000000000000}"/>
  </hyperlinks>
  <pageMargins left="0.2" right="0.1" top="0.25" bottom="0.25" header="0.3" footer="0.3"/>
  <pageSetup paperSize="9" orientation="portrait" r:id="rId2"/>
  <drawing r:id="rId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J35"/>
  <sheetViews>
    <sheetView topLeftCell="A7" workbookViewId="0">
      <selection activeCell="B29" sqref="B2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36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6"/>
      <c r="J9" s="186"/>
    </row>
    <row r="10" spans="1:10" x14ac:dyDescent="0.25">
      <c r="B10" t="s">
        <v>9</v>
      </c>
      <c r="C10" s="10" t="s">
        <v>10</v>
      </c>
      <c r="D10" s="10"/>
      <c r="E10" s="10"/>
      <c r="F10" s="10"/>
    </row>
    <row r="11" spans="1:10" x14ac:dyDescent="0.25">
      <c r="B11" t="s">
        <v>11</v>
      </c>
      <c r="C11" s="10" t="s">
        <v>33</v>
      </c>
      <c r="D11" s="11"/>
      <c r="E11" s="11"/>
      <c r="F11" s="11"/>
    </row>
    <row r="12" spans="1:10" x14ac:dyDescent="0.25">
      <c r="A12" s="12"/>
      <c r="B12" s="13"/>
      <c r="C12" s="14" t="s">
        <v>34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thickBot="1" x14ac:dyDescent="0.3">
      <c r="A15" s="17" t="s">
        <v>13</v>
      </c>
      <c r="B15" s="18" t="s">
        <v>14</v>
      </c>
      <c r="C15" s="19" t="s">
        <v>15</v>
      </c>
      <c r="D15" s="19" t="s">
        <v>16</v>
      </c>
      <c r="E15" s="19" t="s">
        <v>17</v>
      </c>
      <c r="F15" s="19" t="s">
        <v>18</v>
      </c>
      <c r="G15" s="19" t="s">
        <v>19</v>
      </c>
      <c r="H15" s="19" t="s">
        <v>20</v>
      </c>
      <c r="I15" s="19" t="s">
        <v>21</v>
      </c>
      <c r="J15" s="20" t="s">
        <v>22</v>
      </c>
    </row>
    <row r="16" spans="1:10" s="21" customFormat="1" ht="15.75" thickTop="1" x14ac:dyDescent="0.25">
      <c r="A16" s="22">
        <v>1</v>
      </c>
      <c r="B16" s="23" t="s">
        <v>37</v>
      </c>
      <c r="C16" s="24" t="s">
        <v>23</v>
      </c>
      <c r="D16" s="25">
        <v>150</v>
      </c>
      <c r="E16" s="26">
        <v>8</v>
      </c>
      <c r="F16" s="27">
        <f>D16*E16</f>
        <v>1200</v>
      </c>
      <c r="G16" s="27">
        <f>F16*0</f>
        <v>0</v>
      </c>
      <c r="H16" s="26">
        <f>E16*1</f>
        <v>8</v>
      </c>
      <c r="I16" s="27">
        <f>H16*D16</f>
        <v>1200</v>
      </c>
      <c r="J16" s="28"/>
    </row>
    <row r="17" spans="1:10" s="21" customFormat="1" x14ac:dyDescent="0.25">
      <c r="A17" s="22">
        <f>A16+1</f>
        <v>2</v>
      </c>
      <c r="B17" s="23" t="s">
        <v>38</v>
      </c>
      <c r="C17" s="24" t="s">
        <v>23</v>
      </c>
      <c r="D17" s="25">
        <v>50</v>
      </c>
      <c r="E17" s="26">
        <v>8</v>
      </c>
      <c r="F17" s="27">
        <f>D17*E17</f>
        <v>400</v>
      </c>
      <c r="G17" s="27">
        <f>F17*0</f>
        <v>0</v>
      </c>
      <c r="H17" s="26">
        <f>E17*1</f>
        <v>8</v>
      </c>
      <c r="I17" s="27">
        <f>H17*D17</f>
        <v>400</v>
      </c>
      <c r="J17" s="28"/>
    </row>
    <row r="18" spans="1:10" s="21" customFormat="1" x14ac:dyDescent="0.25">
      <c r="A18" s="22">
        <f t="shared" ref="A18:A26" si="0">A17+1</f>
        <v>3</v>
      </c>
      <c r="B18" s="23" t="s">
        <v>39</v>
      </c>
      <c r="C18" s="24" t="s">
        <v>23</v>
      </c>
      <c r="D18" s="25">
        <v>10</v>
      </c>
      <c r="E18" s="26">
        <f>H18/117*100</f>
        <v>200</v>
      </c>
      <c r="F18" s="27">
        <f t="shared" ref="F18:F26" si="1">D18*E18</f>
        <v>2000</v>
      </c>
      <c r="G18" s="27">
        <f t="shared" ref="G18:G26" si="2">F18*0.17</f>
        <v>340</v>
      </c>
      <c r="H18" s="26">
        <v>234</v>
      </c>
      <c r="I18" s="27">
        <f t="shared" ref="I18:I26" si="3">H18*D18</f>
        <v>2340</v>
      </c>
      <c r="J18" s="28"/>
    </row>
    <row r="19" spans="1:10" s="21" customFormat="1" x14ac:dyDescent="0.25">
      <c r="A19" s="22">
        <f t="shared" si="0"/>
        <v>4</v>
      </c>
      <c r="B19" s="23" t="s">
        <v>40</v>
      </c>
      <c r="C19" s="24" t="s">
        <v>23</v>
      </c>
      <c r="D19" s="25">
        <v>18</v>
      </c>
      <c r="E19" s="26">
        <f t="shared" ref="E19:E26" si="4">H19/117*100</f>
        <v>90</v>
      </c>
      <c r="F19" s="27">
        <f t="shared" si="1"/>
        <v>1620</v>
      </c>
      <c r="G19" s="27">
        <f t="shared" si="2"/>
        <v>275.40000000000003</v>
      </c>
      <c r="H19" s="26">
        <v>105.3</v>
      </c>
      <c r="I19" s="27">
        <f t="shared" si="3"/>
        <v>1895.3999999999999</v>
      </c>
      <c r="J19" s="28"/>
    </row>
    <row r="20" spans="1:10" s="21" customFormat="1" x14ac:dyDescent="0.25">
      <c r="A20" s="22">
        <f t="shared" si="0"/>
        <v>5</v>
      </c>
      <c r="B20" s="23" t="s">
        <v>41</v>
      </c>
      <c r="C20" s="24" t="s">
        <v>23</v>
      </c>
      <c r="D20" s="25">
        <v>50</v>
      </c>
      <c r="E20" s="26">
        <f t="shared" si="4"/>
        <v>38.461538461538467</v>
      </c>
      <c r="F20" s="27">
        <f t="shared" si="1"/>
        <v>1923.0769230769233</v>
      </c>
      <c r="G20" s="27">
        <f t="shared" si="2"/>
        <v>326.92307692307696</v>
      </c>
      <c r="H20" s="26">
        <v>45</v>
      </c>
      <c r="I20" s="27">
        <f t="shared" si="3"/>
        <v>2250</v>
      </c>
      <c r="J20" s="28"/>
    </row>
    <row r="21" spans="1:10" s="21" customFormat="1" x14ac:dyDescent="0.25">
      <c r="A21" s="22">
        <f t="shared" si="0"/>
        <v>6</v>
      </c>
      <c r="B21" s="23" t="s">
        <v>42</v>
      </c>
      <c r="C21" s="24" t="s">
        <v>23</v>
      </c>
      <c r="D21" s="25">
        <v>25</v>
      </c>
      <c r="E21" s="26">
        <f t="shared" si="4"/>
        <v>64.957264957264954</v>
      </c>
      <c r="F21" s="27">
        <f t="shared" si="1"/>
        <v>1623.9316239316238</v>
      </c>
      <c r="G21" s="27">
        <f t="shared" si="2"/>
        <v>276.06837606837604</v>
      </c>
      <c r="H21" s="26">
        <v>76</v>
      </c>
      <c r="I21" s="27">
        <f t="shared" si="3"/>
        <v>1900</v>
      </c>
      <c r="J21" s="28"/>
    </row>
    <row r="22" spans="1:10" s="21" customFormat="1" x14ac:dyDescent="0.25">
      <c r="A22" s="22">
        <f t="shared" si="0"/>
        <v>7</v>
      </c>
      <c r="B22" s="23" t="s">
        <v>43</v>
      </c>
      <c r="C22" s="24" t="s">
        <v>23</v>
      </c>
      <c r="D22" s="25">
        <v>10</v>
      </c>
      <c r="E22" s="26">
        <f t="shared" si="4"/>
        <v>180</v>
      </c>
      <c r="F22" s="27">
        <f t="shared" si="1"/>
        <v>1800</v>
      </c>
      <c r="G22" s="27">
        <f t="shared" si="2"/>
        <v>306</v>
      </c>
      <c r="H22" s="26">
        <v>210.6</v>
      </c>
      <c r="I22" s="27">
        <f t="shared" si="3"/>
        <v>2106</v>
      </c>
      <c r="J22" s="28"/>
    </row>
    <row r="23" spans="1:10" s="21" customFormat="1" x14ac:dyDescent="0.25">
      <c r="A23" s="22">
        <f t="shared" si="0"/>
        <v>8</v>
      </c>
      <c r="B23" s="23" t="s">
        <v>44</v>
      </c>
      <c r="C23" s="24" t="s">
        <v>23</v>
      </c>
      <c r="D23" s="25">
        <v>10</v>
      </c>
      <c r="E23" s="26">
        <f t="shared" si="4"/>
        <v>250.42735042735043</v>
      </c>
      <c r="F23" s="27">
        <f t="shared" si="1"/>
        <v>2504.2735042735044</v>
      </c>
      <c r="G23" s="27">
        <f t="shared" si="2"/>
        <v>425.72649572649578</v>
      </c>
      <c r="H23" s="26">
        <v>293</v>
      </c>
      <c r="I23" s="27">
        <f t="shared" si="3"/>
        <v>2930</v>
      </c>
      <c r="J23" s="28"/>
    </row>
    <row r="24" spans="1:10" s="21" customFormat="1" x14ac:dyDescent="0.25">
      <c r="A24" s="22">
        <f t="shared" si="0"/>
        <v>9</v>
      </c>
      <c r="B24" s="23" t="s">
        <v>45</v>
      </c>
      <c r="C24" s="24" t="s">
        <v>23</v>
      </c>
      <c r="D24" s="25">
        <v>12</v>
      </c>
      <c r="E24" s="26">
        <f t="shared" si="4"/>
        <v>29.059829059829063</v>
      </c>
      <c r="F24" s="27">
        <f t="shared" si="1"/>
        <v>348.71794871794873</v>
      </c>
      <c r="G24" s="27">
        <f t="shared" si="2"/>
        <v>59.282051282051292</v>
      </c>
      <c r="H24" s="26">
        <v>34</v>
      </c>
      <c r="I24" s="27">
        <f t="shared" si="3"/>
        <v>408</v>
      </c>
      <c r="J24" s="28"/>
    </row>
    <row r="25" spans="1:10" s="21" customFormat="1" x14ac:dyDescent="0.25">
      <c r="A25" s="22">
        <f t="shared" si="0"/>
        <v>10</v>
      </c>
      <c r="B25" s="23" t="s">
        <v>46</v>
      </c>
      <c r="C25" s="24" t="s">
        <v>23</v>
      </c>
      <c r="D25" s="25">
        <v>30</v>
      </c>
      <c r="E25" s="26">
        <f t="shared" si="4"/>
        <v>80.341880341880341</v>
      </c>
      <c r="F25" s="27">
        <f t="shared" si="1"/>
        <v>2410.2564102564102</v>
      </c>
      <c r="G25" s="27">
        <f t="shared" si="2"/>
        <v>409.74358974358978</v>
      </c>
      <c r="H25" s="26">
        <v>94</v>
      </c>
      <c r="I25" s="27">
        <f t="shared" si="3"/>
        <v>2820</v>
      </c>
      <c r="J25" s="28"/>
    </row>
    <row r="26" spans="1:10" s="21" customFormat="1" x14ac:dyDescent="0.25">
      <c r="A26" s="22">
        <f t="shared" si="0"/>
        <v>11</v>
      </c>
      <c r="B26" s="23" t="s">
        <v>47</v>
      </c>
      <c r="C26" s="24" t="s">
        <v>23</v>
      </c>
      <c r="D26" s="25">
        <v>10</v>
      </c>
      <c r="E26" s="26">
        <f t="shared" si="4"/>
        <v>80.341880341880341</v>
      </c>
      <c r="F26" s="27">
        <f t="shared" si="1"/>
        <v>803.41880341880346</v>
      </c>
      <c r="G26" s="27">
        <f t="shared" si="2"/>
        <v>136.58119658119659</v>
      </c>
      <c r="H26" s="26">
        <v>94</v>
      </c>
      <c r="I26" s="27">
        <f t="shared" si="3"/>
        <v>940</v>
      </c>
      <c r="J26" s="28"/>
    </row>
    <row r="27" spans="1:10" s="21" customFormat="1" x14ac:dyDescent="0.25">
      <c r="A27" s="29"/>
      <c r="B27" s="30"/>
      <c r="C27" s="31"/>
      <c r="D27" s="25"/>
      <c r="E27" s="26"/>
      <c r="F27" s="32"/>
      <c r="G27" s="32"/>
      <c r="H27" s="26"/>
      <c r="I27" s="32"/>
      <c r="J27" s="28"/>
    </row>
    <row r="28" spans="1:10" ht="15.75" thickBot="1" x14ac:dyDescent="0.3">
      <c r="A28" s="33"/>
      <c r="B28" s="34" t="s">
        <v>24</v>
      </c>
      <c r="C28" s="35"/>
      <c r="D28" s="36">
        <f>SUM(D16:D26)</f>
        <v>375</v>
      </c>
      <c r="E28" s="35"/>
      <c r="F28" s="36">
        <f>SUM(F16:F26)</f>
        <v>16633.675213675215</v>
      </c>
      <c r="G28" s="36">
        <f>SUM(G16:G26)</f>
        <v>2555.7247863247867</v>
      </c>
      <c r="H28" s="35"/>
      <c r="I28" s="36">
        <f>SUM(I16:I26)</f>
        <v>19189.400000000001</v>
      </c>
      <c r="J28" s="37"/>
    </row>
    <row r="29" spans="1:10" ht="15.75" thickTop="1" x14ac:dyDescent="0.25">
      <c r="A29" s="33"/>
      <c r="B29" s="34" t="s">
        <v>48</v>
      </c>
      <c r="C29" s="35"/>
      <c r="D29" s="35"/>
      <c r="E29" s="35"/>
      <c r="F29" s="35"/>
      <c r="G29" s="35"/>
      <c r="H29" s="35"/>
      <c r="I29" s="35"/>
      <c r="J29" s="37"/>
    </row>
    <row r="30" spans="1:10" x14ac:dyDescent="0.25">
      <c r="A30" s="33"/>
      <c r="B30" s="38" t="s">
        <v>25</v>
      </c>
      <c r="C30" s="35"/>
      <c r="D30" s="35"/>
      <c r="E30" s="35"/>
      <c r="F30" s="35"/>
      <c r="G30" s="35"/>
      <c r="H30" s="35"/>
      <c r="I30" s="35"/>
      <c r="J30" s="37"/>
    </row>
    <row r="31" spans="1:10" ht="30" customHeight="1" x14ac:dyDescent="0.25">
      <c r="B31" s="183" t="s">
        <v>26</v>
      </c>
      <c r="C31" s="183"/>
      <c r="D31" s="183"/>
      <c r="E31" s="183"/>
      <c r="F31" s="183"/>
      <c r="G31" s="183"/>
      <c r="H31" s="183"/>
      <c r="I31" s="183"/>
      <c r="J31" s="183"/>
    </row>
    <row r="32" spans="1:10" x14ac:dyDescent="0.25">
      <c r="B32" t="s">
        <v>27</v>
      </c>
    </row>
    <row r="34" spans="2:8" x14ac:dyDescent="0.25">
      <c r="B34" t="s">
        <v>28</v>
      </c>
      <c r="H34" t="s">
        <v>28</v>
      </c>
    </row>
    <row r="35" spans="2:8" x14ac:dyDescent="0.25">
      <c r="B35" t="s">
        <v>29</v>
      </c>
      <c r="H35" t="s">
        <v>30</v>
      </c>
    </row>
  </sheetData>
  <mergeCells count="5">
    <mergeCell ref="I9:J9"/>
    <mergeCell ref="B31:J31"/>
    <mergeCell ref="A6:J6"/>
    <mergeCell ref="I7:J7"/>
    <mergeCell ref="I8:J8"/>
  </mergeCells>
  <hyperlinks>
    <hyperlink ref="H5" r:id="rId1" xr:uid="{00000000-0004-0000-6700-000000000000}"/>
  </hyperlinks>
  <pageMargins left="0.2" right="0.1" top="0.25" bottom="0.25" header="0.3" footer="0.3"/>
  <pageSetup paperSize="9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E1799-2698-4D80-B448-C8C765A7836D}">
  <dimension ref="A1:R26"/>
  <sheetViews>
    <sheetView topLeftCell="A4" workbookViewId="0">
      <selection activeCell="B21" sqref="B21:J2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2222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2226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2227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x14ac:dyDescent="0.25">
      <c r="A16" s="53">
        <v>1</v>
      </c>
      <c r="B16" s="78" t="s">
        <v>1967</v>
      </c>
      <c r="C16" s="53" t="s">
        <v>895</v>
      </c>
      <c r="D16" s="79">
        <v>135</v>
      </c>
      <c r="E16" s="82">
        <v>28</v>
      </c>
      <c r="F16" s="56">
        <f t="shared" ref="F16:F17" si="0">D16*E16</f>
        <v>3780</v>
      </c>
      <c r="G16" s="56">
        <f>F16*0.17</f>
        <v>642.6</v>
      </c>
      <c r="H16" s="129">
        <f>E16*1.17</f>
        <v>32.76</v>
      </c>
      <c r="I16" s="56">
        <f t="shared" ref="I16:I17" si="1">H16*D16</f>
        <v>4422.5999999999995</v>
      </c>
      <c r="J16" s="131" t="s">
        <v>1762</v>
      </c>
      <c r="M16" s="21">
        <f t="shared" ref="M16:M17" si="2">440*1.02</f>
        <v>448.8</v>
      </c>
      <c r="N16" s="66" t="e">
        <f>M16-#REF!</f>
        <v>#REF!</v>
      </c>
      <c r="O16" s="21" t="e">
        <f t="shared" ref="O16:O17" si="3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si="0"/>
        <v>0</v>
      </c>
      <c r="G17" s="56">
        <f t="shared" ref="G17" si="4">F17*0.17</f>
        <v>0</v>
      </c>
      <c r="H17" s="57">
        <f t="shared" ref="H17" si="5">E17*1.17</f>
        <v>0</v>
      </c>
      <c r="I17" s="56">
        <f t="shared" si="1"/>
        <v>0</v>
      </c>
      <c r="J17" s="58"/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135</v>
      </c>
      <c r="E18" s="35"/>
      <c r="F18" s="62">
        <f>SUM(F16:F17)</f>
        <v>3780</v>
      </c>
      <c r="G18" s="62">
        <f>SUM(G16:G17)</f>
        <v>642.6</v>
      </c>
      <c r="H18" s="35"/>
      <c r="I18" s="62">
        <f>SUM(I16:I17)</f>
        <v>4422.5999999999995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2228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FE457254-7539-4409-81E8-A25094FD71EC}"/>
  </hyperlinks>
  <pageMargins left="0.2" right="0.1" top="0.25" bottom="0.25" header="0.3" footer="0.3"/>
  <pageSetup paperSize="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FB110-24F8-4AA4-8485-AF099558EDC6}">
  <dimension ref="A1:R26"/>
  <sheetViews>
    <sheetView workbookViewId="0">
      <selection activeCell="A19" sqref="A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2222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2223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2224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x14ac:dyDescent="0.25">
      <c r="A16" s="53">
        <v>1</v>
      </c>
      <c r="B16" s="78" t="s">
        <v>1967</v>
      </c>
      <c r="C16" s="53" t="s">
        <v>895</v>
      </c>
      <c r="D16" s="79">
        <v>180</v>
      </c>
      <c r="E16" s="82">
        <v>28</v>
      </c>
      <c r="F16" s="56">
        <f t="shared" ref="F16:F17" si="0">D16*E16</f>
        <v>5040</v>
      </c>
      <c r="G16" s="56">
        <f>F16*0.17</f>
        <v>856.80000000000007</v>
      </c>
      <c r="H16" s="129">
        <f>E16*1.17</f>
        <v>32.76</v>
      </c>
      <c r="I16" s="56">
        <f t="shared" ref="I16:I17" si="1">H16*D16</f>
        <v>5896.7999999999993</v>
      </c>
      <c r="J16" s="131" t="s">
        <v>1762</v>
      </c>
      <c r="M16" s="21">
        <f t="shared" ref="M16:M17" si="2">440*1.02</f>
        <v>448.8</v>
      </c>
      <c r="N16" s="66" t="e">
        <f>M16-#REF!</f>
        <v>#REF!</v>
      </c>
      <c r="O16" s="21" t="e">
        <f t="shared" ref="O16:O17" si="3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si="0"/>
        <v>0</v>
      </c>
      <c r="G17" s="56">
        <f t="shared" ref="G17" si="4">F17*0.17</f>
        <v>0</v>
      </c>
      <c r="H17" s="57">
        <f t="shared" ref="H17" si="5">E17*1.17</f>
        <v>0</v>
      </c>
      <c r="I17" s="56">
        <f t="shared" si="1"/>
        <v>0</v>
      </c>
      <c r="J17" s="58"/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180</v>
      </c>
      <c r="E18" s="35"/>
      <c r="F18" s="62">
        <f>SUM(F16:F17)</f>
        <v>5040</v>
      </c>
      <c r="G18" s="62">
        <f>SUM(G16:G17)</f>
        <v>856.80000000000007</v>
      </c>
      <c r="H18" s="35"/>
      <c r="I18" s="62">
        <f>SUM(I16:I17)</f>
        <v>5896.7999999999993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2225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47A4A931-2180-4028-A857-E46EAE67E06F}"/>
  </hyperlinks>
  <pageMargins left="0.2" right="0.1" top="0.25" bottom="0.25" header="0.3" footer="0.3"/>
  <pageSetup paperSize="9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D6668-EE7B-4027-A2EF-5FA496922566}">
  <dimension ref="A1:R28"/>
  <sheetViews>
    <sheetView topLeftCell="A6" workbookViewId="0">
      <selection activeCell="B23" sqref="B23:J2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2218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2217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2219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2220</v>
      </c>
      <c r="C16" s="53" t="s">
        <v>987</v>
      </c>
      <c r="D16" s="79">
        <v>50</v>
      </c>
      <c r="E16" s="85">
        <v>24</v>
      </c>
      <c r="F16" s="56">
        <f>E16*D16</f>
        <v>1200</v>
      </c>
      <c r="G16" s="56">
        <f>F16*0.17</f>
        <v>204.00000000000003</v>
      </c>
      <c r="H16" s="85">
        <f>E16*1.17</f>
        <v>28.08</v>
      </c>
      <c r="I16" s="56">
        <f>H16*D16</f>
        <v>1404</v>
      </c>
      <c r="J16" s="83"/>
      <c r="N16" s="66"/>
    </row>
    <row r="17" spans="1:18" s="21" customFormat="1" ht="15.75" x14ac:dyDescent="0.25">
      <c r="A17" s="53">
        <v>2</v>
      </c>
      <c r="B17" s="78" t="s">
        <v>1623</v>
      </c>
      <c r="C17" s="53" t="s">
        <v>987</v>
      </c>
      <c r="D17" s="79">
        <v>50</v>
      </c>
      <c r="E17" s="85">
        <v>87</v>
      </c>
      <c r="F17" s="56">
        <f>E17*D17</f>
        <v>4350</v>
      </c>
      <c r="G17" s="56">
        <f>F17*0.17</f>
        <v>739.5</v>
      </c>
      <c r="H17" s="85">
        <f>E17*1.17</f>
        <v>101.78999999999999</v>
      </c>
      <c r="I17" s="56">
        <f>H17*D17</f>
        <v>5089.5</v>
      </c>
      <c r="J17" s="83"/>
      <c r="N17" s="66"/>
    </row>
    <row r="18" spans="1:18" s="21" customFormat="1" ht="15.75" x14ac:dyDescent="0.25">
      <c r="A18" s="53">
        <v>3</v>
      </c>
      <c r="B18" s="78" t="s">
        <v>1437</v>
      </c>
      <c r="C18" s="53" t="s">
        <v>987</v>
      </c>
      <c r="D18" s="79">
        <v>100</v>
      </c>
      <c r="E18" s="85">
        <v>90</v>
      </c>
      <c r="F18" s="56">
        <f>E18*D18</f>
        <v>9000</v>
      </c>
      <c r="G18" s="56">
        <f>F18*0.17</f>
        <v>1530</v>
      </c>
      <c r="H18" s="85">
        <f>E18*1.17</f>
        <v>105.3</v>
      </c>
      <c r="I18" s="56">
        <f>H18*D18</f>
        <v>10530</v>
      </c>
      <c r="J18" s="83"/>
      <c r="N18" s="66"/>
    </row>
    <row r="19" spans="1:18" s="21" customFormat="1" x14ac:dyDescent="0.25">
      <c r="A19" s="53"/>
      <c r="B19" s="47"/>
      <c r="C19" s="53"/>
      <c r="D19" s="79"/>
      <c r="E19" s="56"/>
      <c r="F19" s="56"/>
      <c r="G19" s="56"/>
      <c r="H19" s="57"/>
      <c r="I19" s="56"/>
      <c r="J19" s="58"/>
      <c r="N19" s="66"/>
    </row>
    <row r="20" spans="1:18" ht="15.75" thickBot="1" x14ac:dyDescent="0.3">
      <c r="A20" s="33"/>
      <c r="B20" s="34" t="s">
        <v>24</v>
      </c>
      <c r="C20" s="35"/>
      <c r="D20" s="62">
        <f>SUM(D16:D19)</f>
        <v>200</v>
      </c>
      <c r="E20" s="35"/>
      <c r="F20" s="62">
        <f>SUM(F16:F19)</f>
        <v>14550</v>
      </c>
      <c r="G20" s="62">
        <f>SUM(G16:G19)</f>
        <v>2473.5</v>
      </c>
      <c r="H20" s="35"/>
      <c r="I20" s="62">
        <f>SUM(I16:I19)</f>
        <v>17023.5</v>
      </c>
      <c r="J20" s="37"/>
    </row>
    <row r="21" spans="1:18" ht="15.75" thickTop="1" x14ac:dyDescent="0.25">
      <c r="A21" s="33"/>
      <c r="B21" s="34" t="s">
        <v>2221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/>
      <c r="O22" s="65"/>
      <c r="P22" s="64"/>
      <c r="Q22" s="64"/>
      <c r="R22" s="64"/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/>
    </row>
    <row r="24" spans="1:18" x14ac:dyDescent="0.25">
      <c r="B24" t="s">
        <v>634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FD39D40D-1BB4-44D7-B884-779113E1CD4D}"/>
  </hyperlinks>
  <pageMargins left="0.2" right="0.1" top="0.25" bottom="0.25" header="0.3" footer="0.3"/>
  <pageSetup paperSize="9"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D662-B942-42AE-923D-4631ACA6A597}">
  <dimension ref="A1:R26"/>
  <sheetViews>
    <sheetView topLeftCell="A45" workbookViewId="0">
      <selection activeCell="C56" sqref="C5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2209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2210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2211</v>
      </c>
      <c r="J9" s="188"/>
    </row>
    <row r="10" spans="1:14" x14ac:dyDescent="0.25">
      <c r="B10" t="s">
        <v>9</v>
      </c>
      <c r="C10" s="10" t="s">
        <v>2081</v>
      </c>
      <c r="D10" s="10"/>
      <c r="E10" s="10"/>
      <c r="F10" s="10"/>
    </row>
    <row r="11" spans="1:14" x14ac:dyDescent="0.25">
      <c r="B11" t="s">
        <v>11</v>
      </c>
      <c r="C11" s="10" t="s">
        <v>1820</v>
      </c>
      <c r="D11" s="11"/>
      <c r="E11" s="11"/>
      <c r="F11" s="11"/>
    </row>
    <row r="12" spans="1:14" x14ac:dyDescent="0.25">
      <c r="A12" s="12"/>
      <c r="B12" s="13"/>
      <c r="C12" s="14" t="s">
        <v>2082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4" s="21" customFormat="1" ht="38.25" x14ac:dyDescent="0.25">
      <c r="A16" s="53">
        <v>1</v>
      </c>
      <c r="B16" s="78" t="s">
        <v>2212</v>
      </c>
      <c r="C16" s="53" t="s">
        <v>166</v>
      </c>
      <c r="D16" s="79">
        <v>2</v>
      </c>
      <c r="E16" s="56">
        <v>17000</v>
      </c>
      <c r="F16" s="56">
        <f t="shared" ref="F16" si="0">D16*E16</f>
        <v>34000</v>
      </c>
      <c r="G16" s="56">
        <f t="shared" ref="G16" si="1">F16*0.17</f>
        <v>5780</v>
      </c>
      <c r="H16" s="129">
        <f t="shared" ref="H16" si="2">E16*1.17</f>
        <v>19890</v>
      </c>
      <c r="I16" s="56">
        <f t="shared" ref="I16" si="3">H16*D16</f>
        <v>39780</v>
      </c>
      <c r="J16" s="83"/>
      <c r="N16" s="66"/>
    </row>
    <row r="17" spans="1:18" s="21" customFormat="1" ht="15.75" x14ac:dyDescent="0.25">
      <c r="A17" s="53">
        <v>2</v>
      </c>
      <c r="B17" s="78" t="s">
        <v>2213</v>
      </c>
      <c r="C17" s="53" t="s">
        <v>987</v>
      </c>
      <c r="D17" s="79">
        <v>2</v>
      </c>
      <c r="E17" s="56">
        <f>E16/4</f>
        <v>4250</v>
      </c>
      <c r="F17" s="56">
        <f t="shared" ref="F17" si="4">D17*E17</f>
        <v>8500</v>
      </c>
      <c r="G17" s="56">
        <f t="shared" ref="G17" si="5">F17*0.17</f>
        <v>1445</v>
      </c>
      <c r="H17" s="129">
        <f t="shared" ref="H17" si="6">E17*1.17</f>
        <v>4972.5</v>
      </c>
      <c r="I17" s="56">
        <f t="shared" ref="I17" si="7">H17*D17</f>
        <v>9945</v>
      </c>
      <c r="J17" s="83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4</v>
      </c>
      <c r="E18" s="35"/>
      <c r="F18" s="62">
        <f>SUM(F16:F17)</f>
        <v>42500</v>
      </c>
      <c r="G18" s="62">
        <f>SUM(G16:G17)</f>
        <v>7225</v>
      </c>
      <c r="H18" s="35"/>
      <c r="I18" s="62">
        <f>SUM(I16:I17)</f>
        <v>49725</v>
      </c>
      <c r="J18" s="37"/>
    </row>
    <row r="19" spans="1:18" ht="15.75" thickTop="1" x14ac:dyDescent="0.25">
      <c r="A19" s="33"/>
      <c r="B19" s="34" t="s">
        <v>2214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8BE16BC7-8491-4E0F-8552-6718BE7F88D7}"/>
  </hyperlinks>
  <pageMargins left="0.2" right="0.1" top="0.25" bottom="0.2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AAA86-BC8F-4676-AD47-0CEC5C38F635}">
  <dimension ref="A1:R26"/>
  <sheetViews>
    <sheetView workbookViewId="0">
      <selection activeCell="A16" sqref="A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2312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2313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2348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2346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2342</v>
      </c>
      <c r="J9" s="188"/>
    </row>
    <row r="10" spans="1:14" x14ac:dyDescent="0.25">
      <c r="B10" t="s">
        <v>9</v>
      </c>
      <c r="C10" s="139" t="s">
        <v>2343</v>
      </c>
      <c r="D10" s="10"/>
      <c r="E10" s="10"/>
      <c r="F10" s="10"/>
    </row>
    <row r="11" spans="1:14" x14ac:dyDescent="0.25">
      <c r="B11" t="s">
        <v>11</v>
      </c>
      <c r="C11" s="132" t="s">
        <v>2344</v>
      </c>
      <c r="D11" s="11"/>
      <c r="E11" s="11"/>
      <c r="F11" s="11"/>
    </row>
    <row r="12" spans="1:14" x14ac:dyDescent="0.25">
      <c r="A12" s="12"/>
      <c r="B12" s="13"/>
      <c r="C12" s="140" t="s">
        <v>2347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189" t="s">
        <v>14</v>
      </c>
      <c r="C15" s="189"/>
      <c r="D15" s="76" t="s">
        <v>15</v>
      </c>
      <c r="E15" s="76" t="s">
        <v>16</v>
      </c>
      <c r="F15" s="76" t="s">
        <v>18</v>
      </c>
      <c r="G15" s="76" t="s">
        <v>1083</v>
      </c>
      <c r="H15" s="76" t="s">
        <v>21</v>
      </c>
      <c r="I15" s="190" t="s">
        <v>22</v>
      </c>
      <c r="J15" s="191"/>
    </row>
    <row r="16" spans="1:14" s="21" customFormat="1" x14ac:dyDescent="0.25">
      <c r="A16" s="53">
        <v>1</v>
      </c>
      <c r="B16" s="180" t="s">
        <v>2318</v>
      </c>
      <c r="C16" s="180"/>
      <c r="D16" s="53" t="s">
        <v>23</v>
      </c>
      <c r="E16" s="79">
        <v>202</v>
      </c>
      <c r="F16" s="56">
        <v>28570</v>
      </c>
      <c r="G16" s="149">
        <f>F16*0.17</f>
        <v>4856.9000000000005</v>
      </c>
      <c r="H16" s="56">
        <f>F16+G16</f>
        <v>33426.9</v>
      </c>
      <c r="I16" s="178"/>
      <c r="J16" s="179"/>
      <c r="N16" s="66"/>
    </row>
    <row r="17" spans="1:18" s="21" customFormat="1" ht="15.75" customHeight="1" x14ac:dyDescent="0.25">
      <c r="A17" s="53"/>
      <c r="B17" s="181"/>
      <c r="C17" s="182"/>
      <c r="D17" s="79"/>
      <c r="E17" s="56"/>
      <c r="F17" s="56"/>
      <c r="G17" s="149"/>
      <c r="H17" s="85"/>
      <c r="I17" s="178"/>
      <c r="J17" s="179"/>
      <c r="N17" s="66"/>
    </row>
    <row r="18" spans="1:18" ht="15.75" thickBot="1" x14ac:dyDescent="0.3">
      <c r="A18" s="33"/>
      <c r="B18" s="34" t="s">
        <v>24</v>
      </c>
      <c r="C18" s="35"/>
      <c r="E18" s="62">
        <f>SUM(E16:E17)</f>
        <v>202</v>
      </c>
      <c r="F18" s="62">
        <f>SUM(F16:F17)</f>
        <v>28570</v>
      </c>
      <c r="G18" s="62">
        <f>SUM(G16:G17)</f>
        <v>4856.9000000000005</v>
      </c>
      <c r="H18" s="62">
        <f>SUM(H16:H17)</f>
        <v>33426.9</v>
      </c>
      <c r="J18" s="37"/>
    </row>
    <row r="19" spans="1:18" ht="15.75" thickTop="1" x14ac:dyDescent="0.25">
      <c r="A19" s="33"/>
      <c r="B19" s="34" t="s">
        <v>2345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/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11">
    <mergeCell ref="B16:C16"/>
    <mergeCell ref="I16:J16"/>
    <mergeCell ref="B17:C17"/>
    <mergeCell ref="I17:J17"/>
    <mergeCell ref="B21:J21"/>
    <mergeCell ref="A6:J6"/>
    <mergeCell ref="I7:J7"/>
    <mergeCell ref="I8:J8"/>
    <mergeCell ref="I9:J9"/>
    <mergeCell ref="B15:C15"/>
    <mergeCell ref="I15:J15"/>
  </mergeCells>
  <hyperlinks>
    <hyperlink ref="H5" r:id="rId1" xr:uid="{0C95698B-F78C-412C-A7EB-C48CECADE3FB}"/>
  </hyperlinks>
  <pageMargins left="0.2" right="0.1" top="0.25" bottom="0.25" header="0.3" footer="0.3"/>
  <pageSetup paperSize="9" orientation="portrait" r:id="rId2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DD389-297A-4EE7-B943-4C94BF92B34B}">
  <dimension ref="A1:R26"/>
  <sheetViews>
    <sheetView topLeftCell="A7" workbookViewId="0">
      <selection activeCell="C14" sqref="C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2202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2205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2206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25.5" x14ac:dyDescent="0.25">
      <c r="A16" s="53">
        <v>1</v>
      </c>
      <c r="B16" s="78" t="s">
        <v>2207</v>
      </c>
      <c r="C16" s="53" t="s">
        <v>1234</v>
      </c>
      <c r="D16" s="79">
        <v>1</v>
      </c>
      <c r="E16" s="82">
        <v>3510</v>
      </c>
      <c r="F16" s="56">
        <f t="shared" ref="F16:F17" si="0">D16*E16</f>
        <v>3510</v>
      </c>
      <c r="G16" s="56">
        <f>F16*0.17</f>
        <v>596.70000000000005</v>
      </c>
      <c r="H16" s="129">
        <f>E16*1.17</f>
        <v>4106.7</v>
      </c>
      <c r="I16" s="56">
        <f t="shared" ref="I16:I17" si="1">H16*D16</f>
        <v>4106.7</v>
      </c>
      <c r="J16" s="131" t="s">
        <v>1760</v>
      </c>
      <c r="M16" s="21">
        <f t="shared" ref="M16:M17" si="2">440*1.02</f>
        <v>448.8</v>
      </c>
      <c r="N16" s="66" t="e">
        <f>M16-#REF!</f>
        <v>#REF!</v>
      </c>
      <c r="O16" s="21" t="e">
        <f t="shared" ref="O16:O17" si="3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si="0"/>
        <v>0</v>
      </c>
      <c r="G17" s="56">
        <f t="shared" ref="G17" si="4">F17*0.17</f>
        <v>0</v>
      </c>
      <c r="H17" s="57">
        <f t="shared" ref="H17" si="5">E17*1.17</f>
        <v>0</v>
      </c>
      <c r="I17" s="56">
        <f t="shared" si="1"/>
        <v>0</v>
      </c>
      <c r="J17" s="58"/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1</v>
      </c>
      <c r="E18" s="35"/>
      <c r="F18" s="62">
        <f>SUM(F16:F17)</f>
        <v>3510</v>
      </c>
      <c r="G18" s="62">
        <f>SUM(G16:G17)</f>
        <v>596.70000000000005</v>
      </c>
      <c r="H18" s="35"/>
      <c r="I18" s="62">
        <f>SUM(I16:I17)</f>
        <v>4106.7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2208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C369E5D6-9014-4D96-8629-1F2756C45E9C}"/>
  </hyperlinks>
  <pageMargins left="0.2" right="0.1" top="0.25" bottom="0.25" header="0.3" footer="0.3"/>
  <pageSetup paperSize="9" orientation="portrait" r:id="rId2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27EB6-F40A-4F5C-8E2A-F3F5B91C8843}">
  <dimension ref="A1:R41"/>
  <sheetViews>
    <sheetView workbookViewId="0">
      <selection activeCell="A4" sqref="A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2202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2201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2203</v>
      </c>
      <c r="J9" s="188"/>
    </row>
    <row r="10" spans="1:15" x14ac:dyDescent="0.25">
      <c r="B10" t="s">
        <v>9</v>
      </c>
      <c r="C10" s="10" t="s">
        <v>754</v>
      </c>
      <c r="D10" s="10"/>
      <c r="E10" s="10"/>
      <c r="F10" s="10"/>
    </row>
    <row r="11" spans="1:15" x14ac:dyDescent="0.25">
      <c r="B11" t="s">
        <v>11</v>
      </c>
      <c r="C11" s="10" t="s">
        <v>755</v>
      </c>
      <c r="D11" s="11"/>
      <c r="E11" s="11"/>
      <c r="F11" s="11"/>
    </row>
    <row r="12" spans="1:15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2155</v>
      </c>
      <c r="C16" s="53" t="s">
        <v>825</v>
      </c>
      <c r="D16" s="79">
        <v>20</v>
      </c>
      <c r="E16" s="56">
        <v>144</v>
      </c>
      <c r="F16" s="56">
        <f t="shared" ref="F16:F32" si="0">D16*E16</f>
        <v>2880</v>
      </c>
      <c r="G16" s="56">
        <f t="shared" ref="G16:G32" si="1">F16*0.17</f>
        <v>489.6</v>
      </c>
      <c r="H16" s="129">
        <f t="shared" ref="H16:H32" si="2">E16*1.17</f>
        <v>168.48</v>
      </c>
      <c r="I16" s="56">
        <f t="shared" ref="I16:I32" si="3">H16*D16</f>
        <v>3369.6</v>
      </c>
      <c r="J16" s="83"/>
      <c r="L16" s="21" t="s">
        <v>1572</v>
      </c>
      <c r="M16" s="21">
        <f t="shared" ref="M16:M32" si="4">440*1.02</f>
        <v>448.8</v>
      </c>
      <c r="N16" s="66" t="e">
        <f>M16-#REF!</f>
        <v>#REF!</v>
      </c>
      <c r="O16" s="21" t="e">
        <f t="shared" ref="O16:O32" si="5">N16*D16</f>
        <v>#REF!</v>
      </c>
    </row>
    <row r="17" spans="1:15" s="21" customFormat="1" ht="15.75" x14ac:dyDescent="0.25">
      <c r="A17" s="53">
        <f>A16+1</f>
        <v>2</v>
      </c>
      <c r="B17" s="78" t="s">
        <v>891</v>
      </c>
      <c r="C17" s="53" t="s">
        <v>23</v>
      </c>
      <c r="D17" s="79">
        <v>6</v>
      </c>
      <c r="E17" s="56">
        <v>220</v>
      </c>
      <c r="F17" s="56">
        <f t="shared" si="0"/>
        <v>1320</v>
      </c>
      <c r="G17" s="56">
        <f t="shared" ref="G17:G31" si="6">F17*0.17</f>
        <v>224.4</v>
      </c>
      <c r="H17" s="129">
        <f t="shared" ref="H17:H31" si="7">E17*1.17</f>
        <v>257.39999999999998</v>
      </c>
      <c r="I17" s="56">
        <f t="shared" si="3"/>
        <v>1544.3999999999999</v>
      </c>
      <c r="J17" s="83"/>
      <c r="L17" s="21" t="s">
        <v>1572</v>
      </c>
      <c r="M17" s="21">
        <f t="shared" si="4"/>
        <v>448.8</v>
      </c>
      <c r="N17" s="66" t="e">
        <f>M17-#REF!</f>
        <v>#REF!</v>
      </c>
      <c r="O17" s="21" t="e">
        <f t="shared" si="5"/>
        <v>#REF!</v>
      </c>
    </row>
    <row r="18" spans="1:15" s="21" customFormat="1" ht="15.75" x14ac:dyDescent="0.25">
      <c r="A18" s="53">
        <f t="shared" ref="A18:A31" si="8">A17+1</f>
        <v>3</v>
      </c>
      <c r="B18" s="78" t="s">
        <v>2156</v>
      </c>
      <c r="C18" s="53" t="s">
        <v>23</v>
      </c>
      <c r="D18" s="79">
        <v>40</v>
      </c>
      <c r="E18" s="56">
        <v>120</v>
      </c>
      <c r="F18" s="56">
        <f t="shared" si="0"/>
        <v>4800</v>
      </c>
      <c r="G18" s="56">
        <f t="shared" si="6"/>
        <v>816.00000000000011</v>
      </c>
      <c r="H18" s="129">
        <f t="shared" si="7"/>
        <v>140.39999999999998</v>
      </c>
      <c r="I18" s="56">
        <f t="shared" si="3"/>
        <v>5615.9999999999991</v>
      </c>
      <c r="J18" s="83"/>
      <c r="L18" s="21" t="s">
        <v>1572</v>
      </c>
      <c r="M18" s="21">
        <f t="shared" si="4"/>
        <v>448.8</v>
      </c>
      <c r="N18" s="66" t="e">
        <f>M18-#REF!</f>
        <v>#REF!</v>
      </c>
      <c r="O18" s="21" t="e">
        <f t="shared" si="5"/>
        <v>#REF!</v>
      </c>
    </row>
    <row r="19" spans="1:15" s="21" customFormat="1" ht="15.75" x14ac:dyDescent="0.25">
      <c r="A19" s="53">
        <f t="shared" si="8"/>
        <v>4</v>
      </c>
      <c r="B19" s="78" t="s">
        <v>1769</v>
      </c>
      <c r="C19" s="53" t="s">
        <v>23</v>
      </c>
      <c r="D19" s="79">
        <v>15</v>
      </c>
      <c r="E19" s="56">
        <v>120</v>
      </c>
      <c r="F19" s="56">
        <f t="shared" si="0"/>
        <v>1800</v>
      </c>
      <c r="G19" s="56">
        <f t="shared" si="6"/>
        <v>306</v>
      </c>
      <c r="H19" s="129">
        <f t="shared" si="7"/>
        <v>140.39999999999998</v>
      </c>
      <c r="I19" s="56">
        <f t="shared" si="3"/>
        <v>2105.9999999999995</v>
      </c>
      <c r="J19" s="83"/>
      <c r="L19" s="21" t="s">
        <v>1572</v>
      </c>
      <c r="M19" s="21">
        <f t="shared" si="4"/>
        <v>448.8</v>
      </c>
      <c r="N19" s="66" t="e">
        <f>M19-#REF!</f>
        <v>#REF!</v>
      </c>
      <c r="O19" s="21" t="e">
        <f t="shared" si="5"/>
        <v>#REF!</v>
      </c>
    </row>
    <row r="20" spans="1:15" s="21" customFormat="1" ht="15.75" x14ac:dyDescent="0.25">
      <c r="A20" s="53">
        <f t="shared" si="8"/>
        <v>5</v>
      </c>
      <c r="B20" s="78" t="s">
        <v>1015</v>
      </c>
      <c r="C20" s="53" t="s">
        <v>23</v>
      </c>
      <c r="D20" s="79">
        <v>5</v>
      </c>
      <c r="E20" s="56">
        <v>220</v>
      </c>
      <c r="F20" s="56">
        <f t="shared" si="0"/>
        <v>1100</v>
      </c>
      <c r="G20" s="56">
        <f t="shared" si="6"/>
        <v>187</v>
      </c>
      <c r="H20" s="129">
        <f t="shared" si="7"/>
        <v>257.39999999999998</v>
      </c>
      <c r="I20" s="56">
        <f t="shared" si="3"/>
        <v>1287</v>
      </c>
      <c r="J20" s="83"/>
      <c r="L20" s="21" t="s">
        <v>1572</v>
      </c>
      <c r="M20" s="21">
        <f t="shared" si="4"/>
        <v>448.8</v>
      </c>
      <c r="N20" s="66" t="e">
        <f>M20-#REF!</f>
        <v>#REF!</v>
      </c>
      <c r="O20" s="21" t="e">
        <f t="shared" si="5"/>
        <v>#REF!</v>
      </c>
    </row>
    <row r="21" spans="1:15" s="21" customFormat="1" ht="15.75" x14ac:dyDescent="0.25">
      <c r="A21" s="53">
        <f t="shared" si="8"/>
        <v>6</v>
      </c>
      <c r="B21" s="78" t="s">
        <v>2009</v>
      </c>
      <c r="C21" s="53" t="s">
        <v>895</v>
      </c>
      <c r="D21" s="79">
        <v>20</v>
      </c>
      <c r="E21" s="56">
        <v>28</v>
      </c>
      <c r="F21" s="56">
        <f t="shared" si="0"/>
        <v>560</v>
      </c>
      <c r="G21" s="56">
        <f t="shared" si="6"/>
        <v>95.2</v>
      </c>
      <c r="H21" s="129">
        <f t="shared" si="7"/>
        <v>32.76</v>
      </c>
      <c r="I21" s="56">
        <f t="shared" si="3"/>
        <v>655.19999999999993</v>
      </c>
      <c r="J21" s="83"/>
      <c r="L21" s="21" t="s">
        <v>1572</v>
      </c>
      <c r="M21" s="21">
        <f t="shared" si="4"/>
        <v>448.8</v>
      </c>
      <c r="N21" s="66" t="e">
        <f>M21-#REF!</f>
        <v>#REF!</v>
      </c>
      <c r="O21" s="21" t="e">
        <f t="shared" si="5"/>
        <v>#REF!</v>
      </c>
    </row>
    <row r="22" spans="1:15" s="21" customFormat="1" ht="15.75" x14ac:dyDescent="0.25">
      <c r="A22" s="53">
        <f t="shared" si="8"/>
        <v>7</v>
      </c>
      <c r="B22" s="78" t="s">
        <v>2010</v>
      </c>
      <c r="C22" s="53" t="s">
        <v>2016</v>
      </c>
      <c r="D22" s="79">
        <v>12</v>
      </c>
      <c r="E22" s="56">
        <v>90</v>
      </c>
      <c r="F22" s="56">
        <f t="shared" si="0"/>
        <v>1080</v>
      </c>
      <c r="G22" s="56">
        <f t="shared" si="6"/>
        <v>183.60000000000002</v>
      </c>
      <c r="H22" s="129">
        <f t="shared" si="7"/>
        <v>105.3</v>
      </c>
      <c r="I22" s="56">
        <f t="shared" si="3"/>
        <v>1263.5999999999999</v>
      </c>
      <c r="J22" s="83"/>
      <c r="L22" s="21" t="s">
        <v>1572</v>
      </c>
      <c r="M22" s="21">
        <f t="shared" si="4"/>
        <v>448.8</v>
      </c>
      <c r="N22" s="66" t="e">
        <f>M22-#REF!</f>
        <v>#REF!</v>
      </c>
      <c r="O22" s="21" t="e">
        <f t="shared" si="5"/>
        <v>#REF!</v>
      </c>
    </row>
    <row r="23" spans="1:15" s="21" customFormat="1" ht="15.75" x14ac:dyDescent="0.25">
      <c r="A23" s="53">
        <f t="shared" si="8"/>
        <v>8</v>
      </c>
      <c r="B23" s="78" t="s">
        <v>2157</v>
      </c>
      <c r="C23" s="53" t="s">
        <v>193</v>
      </c>
      <c r="D23" s="79">
        <v>150</v>
      </c>
      <c r="E23" s="56">
        <v>18</v>
      </c>
      <c r="F23" s="56">
        <f t="shared" si="0"/>
        <v>2700</v>
      </c>
      <c r="G23" s="56">
        <f t="shared" si="6"/>
        <v>459.00000000000006</v>
      </c>
      <c r="H23" s="129">
        <f t="shared" si="7"/>
        <v>21.06</v>
      </c>
      <c r="I23" s="56">
        <f t="shared" si="3"/>
        <v>3159</v>
      </c>
      <c r="J23" s="83"/>
      <c r="L23" s="21" t="s">
        <v>1572</v>
      </c>
      <c r="M23" s="21">
        <f t="shared" si="4"/>
        <v>448.8</v>
      </c>
      <c r="N23" s="66" t="e">
        <f>M23-#REF!</f>
        <v>#REF!</v>
      </c>
      <c r="O23" s="21" t="e">
        <f t="shared" si="5"/>
        <v>#REF!</v>
      </c>
    </row>
    <row r="24" spans="1:15" s="21" customFormat="1" ht="15.75" x14ac:dyDescent="0.25">
      <c r="A24" s="53">
        <f t="shared" si="8"/>
        <v>9</v>
      </c>
      <c r="B24" s="78" t="s">
        <v>2158</v>
      </c>
      <c r="C24" s="53" t="s">
        <v>192</v>
      </c>
      <c r="D24" s="79">
        <v>5</v>
      </c>
      <c r="E24" s="56">
        <v>190</v>
      </c>
      <c r="F24" s="56">
        <f t="shared" si="0"/>
        <v>950</v>
      </c>
      <c r="G24" s="56">
        <f t="shared" si="6"/>
        <v>161.5</v>
      </c>
      <c r="H24" s="129">
        <f t="shared" si="7"/>
        <v>222.29999999999998</v>
      </c>
      <c r="I24" s="56">
        <f t="shared" si="3"/>
        <v>1111.5</v>
      </c>
      <c r="J24" s="83"/>
      <c r="L24" s="21" t="s">
        <v>1572</v>
      </c>
      <c r="M24" s="21">
        <f t="shared" si="4"/>
        <v>448.8</v>
      </c>
      <c r="N24" s="66" t="e">
        <f>M24-#REF!</f>
        <v>#REF!</v>
      </c>
      <c r="O24" s="21" t="e">
        <f t="shared" si="5"/>
        <v>#REF!</v>
      </c>
    </row>
    <row r="25" spans="1:15" s="21" customFormat="1" ht="15.75" x14ac:dyDescent="0.25">
      <c r="A25" s="53">
        <f t="shared" si="8"/>
        <v>10</v>
      </c>
      <c r="B25" s="78" t="s">
        <v>2159</v>
      </c>
      <c r="C25" s="53" t="s">
        <v>23</v>
      </c>
      <c r="D25" s="79">
        <v>8</v>
      </c>
      <c r="E25" s="56">
        <v>125</v>
      </c>
      <c r="F25" s="56">
        <f t="shared" si="0"/>
        <v>1000</v>
      </c>
      <c r="G25" s="56">
        <f t="shared" si="6"/>
        <v>170</v>
      </c>
      <c r="H25" s="129">
        <f t="shared" si="7"/>
        <v>146.25</v>
      </c>
      <c r="I25" s="56">
        <f t="shared" si="3"/>
        <v>1170</v>
      </c>
      <c r="J25" s="83"/>
      <c r="L25" s="21" t="s">
        <v>1572</v>
      </c>
      <c r="M25" s="21">
        <f t="shared" si="4"/>
        <v>448.8</v>
      </c>
      <c r="N25" s="66" t="e">
        <f>M25-#REF!</f>
        <v>#REF!</v>
      </c>
      <c r="O25" s="21" t="e">
        <f t="shared" si="5"/>
        <v>#REF!</v>
      </c>
    </row>
    <row r="26" spans="1:15" s="21" customFormat="1" ht="15.75" x14ac:dyDescent="0.25">
      <c r="A26" s="53">
        <f t="shared" si="8"/>
        <v>11</v>
      </c>
      <c r="B26" s="78" t="s">
        <v>2160</v>
      </c>
      <c r="C26" s="53" t="s">
        <v>895</v>
      </c>
      <c r="D26" s="79">
        <v>30</v>
      </c>
      <c r="E26" s="56">
        <v>58</v>
      </c>
      <c r="F26" s="56">
        <f t="shared" si="0"/>
        <v>1740</v>
      </c>
      <c r="G26" s="56">
        <f t="shared" si="6"/>
        <v>295.8</v>
      </c>
      <c r="H26" s="129">
        <f t="shared" si="7"/>
        <v>67.86</v>
      </c>
      <c r="I26" s="56">
        <f t="shared" si="3"/>
        <v>2035.8</v>
      </c>
      <c r="J26" s="83"/>
      <c r="L26" s="21" t="s">
        <v>1572</v>
      </c>
      <c r="M26" s="21">
        <f t="shared" si="4"/>
        <v>448.8</v>
      </c>
      <c r="N26" s="66" t="e">
        <f>M26-#REF!</f>
        <v>#REF!</v>
      </c>
      <c r="O26" s="21" t="e">
        <f t="shared" si="5"/>
        <v>#REF!</v>
      </c>
    </row>
    <row r="27" spans="1:15" s="21" customFormat="1" ht="15.75" x14ac:dyDescent="0.25">
      <c r="A27" s="53">
        <f t="shared" si="8"/>
        <v>12</v>
      </c>
      <c r="B27" s="78" t="s">
        <v>2161</v>
      </c>
      <c r="C27" s="53" t="s">
        <v>23</v>
      </c>
      <c r="D27" s="79">
        <v>20</v>
      </c>
      <c r="E27" s="56">
        <v>150</v>
      </c>
      <c r="F27" s="56">
        <f t="shared" si="0"/>
        <v>3000</v>
      </c>
      <c r="G27" s="56">
        <f t="shared" si="6"/>
        <v>510.00000000000006</v>
      </c>
      <c r="H27" s="129">
        <f t="shared" si="7"/>
        <v>175.5</v>
      </c>
      <c r="I27" s="56">
        <f t="shared" si="3"/>
        <v>3510</v>
      </c>
      <c r="J27" s="83"/>
      <c r="L27" s="21" t="s">
        <v>1572</v>
      </c>
      <c r="M27" s="21">
        <f t="shared" si="4"/>
        <v>448.8</v>
      </c>
      <c r="N27" s="66" t="e">
        <f>M27-#REF!</f>
        <v>#REF!</v>
      </c>
      <c r="O27" s="21" t="e">
        <f t="shared" si="5"/>
        <v>#REF!</v>
      </c>
    </row>
    <row r="28" spans="1:15" s="21" customFormat="1" ht="15.75" x14ac:dyDescent="0.25">
      <c r="A28" s="53">
        <f t="shared" si="8"/>
        <v>13</v>
      </c>
      <c r="B28" s="78" t="s">
        <v>2162</v>
      </c>
      <c r="C28" s="53" t="s">
        <v>23</v>
      </c>
      <c r="D28" s="79">
        <v>12</v>
      </c>
      <c r="E28" s="56">
        <v>35</v>
      </c>
      <c r="F28" s="56">
        <f t="shared" si="0"/>
        <v>420</v>
      </c>
      <c r="G28" s="56">
        <f t="shared" si="6"/>
        <v>71.400000000000006</v>
      </c>
      <c r="H28" s="129">
        <f t="shared" si="7"/>
        <v>40.949999999999996</v>
      </c>
      <c r="I28" s="56">
        <f t="shared" si="3"/>
        <v>491.4</v>
      </c>
      <c r="J28" s="83"/>
      <c r="L28" s="21" t="s">
        <v>1572</v>
      </c>
      <c r="M28" s="21">
        <f t="shared" si="4"/>
        <v>448.8</v>
      </c>
      <c r="N28" s="66" t="e">
        <f>M28-#REF!</f>
        <v>#REF!</v>
      </c>
      <c r="O28" s="21" t="e">
        <f t="shared" si="5"/>
        <v>#REF!</v>
      </c>
    </row>
    <row r="29" spans="1:15" s="21" customFormat="1" ht="15.75" x14ac:dyDescent="0.25">
      <c r="A29" s="53">
        <f t="shared" si="8"/>
        <v>14</v>
      </c>
      <c r="B29" s="78" t="s">
        <v>1561</v>
      </c>
      <c r="C29" s="53" t="s">
        <v>192</v>
      </c>
      <c r="D29" s="79">
        <v>2</v>
      </c>
      <c r="E29" s="56">
        <v>180</v>
      </c>
      <c r="F29" s="56">
        <f t="shared" si="0"/>
        <v>360</v>
      </c>
      <c r="G29" s="56">
        <f t="shared" si="6"/>
        <v>61.2</v>
      </c>
      <c r="H29" s="129">
        <f t="shared" si="7"/>
        <v>210.6</v>
      </c>
      <c r="I29" s="56">
        <f t="shared" si="3"/>
        <v>421.2</v>
      </c>
      <c r="J29" s="83"/>
      <c r="L29" s="21" t="s">
        <v>1572</v>
      </c>
      <c r="M29" s="21">
        <f t="shared" si="4"/>
        <v>448.8</v>
      </c>
      <c r="N29" s="66" t="e">
        <f>M29-#REF!</f>
        <v>#REF!</v>
      </c>
      <c r="O29" s="21" t="e">
        <f t="shared" si="5"/>
        <v>#REF!</v>
      </c>
    </row>
    <row r="30" spans="1:15" s="21" customFormat="1" ht="15.75" x14ac:dyDescent="0.25">
      <c r="A30" s="53">
        <f t="shared" si="8"/>
        <v>15</v>
      </c>
      <c r="B30" s="78" t="s">
        <v>2163</v>
      </c>
      <c r="C30" s="53" t="s">
        <v>23</v>
      </c>
      <c r="D30" s="79">
        <v>3</v>
      </c>
      <c r="E30" s="56">
        <v>150</v>
      </c>
      <c r="F30" s="56">
        <f t="shared" si="0"/>
        <v>450</v>
      </c>
      <c r="G30" s="56">
        <f t="shared" si="6"/>
        <v>76.5</v>
      </c>
      <c r="H30" s="129">
        <f t="shared" si="7"/>
        <v>175.5</v>
      </c>
      <c r="I30" s="56">
        <f t="shared" si="3"/>
        <v>526.5</v>
      </c>
      <c r="J30" s="83"/>
      <c r="L30" s="21" t="s">
        <v>1572</v>
      </c>
      <c r="M30" s="21">
        <f t="shared" si="4"/>
        <v>448.8</v>
      </c>
      <c r="N30" s="66" t="e">
        <f>M30-#REF!</f>
        <v>#REF!</v>
      </c>
      <c r="O30" s="21" t="e">
        <f t="shared" si="5"/>
        <v>#REF!</v>
      </c>
    </row>
    <row r="31" spans="1:15" s="21" customFormat="1" ht="15.75" x14ac:dyDescent="0.25">
      <c r="A31" s="53">
        <f t="shared" si="8"/>
        <v>16</v>
      </c>
      <c r="B31" s="78" t="s">
        <v>2164</v>
      </c>
      <c r="C31" s="53" t="s">
        <v>23</v>
      </c>
      <c r="D31" s="79">
        <v>5</v>
      </c>
      <c r="E31" s="56">
        <v>180</v>
      </c>
      <c r="F31" s="56">
        <f t="shared" si="0"/>
        <v>900</v>
      </c>
      <c r="G31" s="56">
        <f t="shared" si="6"/>
        <v>153</v>
      </c>
      <c r="H31" s="129">
        <f t="shared" si="7"/>
        <v>210.6</v>
      </c>
      <c r="I31" s="56">
        <f t="shared" si="3"/>
        <v>1053</v>
      </c>
      <c r="J31" s="83"/>
      <c r="L31" s="21" t="s">
        <v>1572</v>
      </c>
      <c r="M31" s="21">
        <f t="shared" si="4"/>
        <v>448.8</v>
      </c>
      <c r="N31" s="66" t="e">
        <f>M31-#REF!</f>
        <v>#REF!</v>
      </c>
      <c r="O31" s="21" t="e">
        <f t="shared" si="5"/>
        <v>#REF!</v>
      </c>
    </row>
    <row r="32" spans="1:15" s="21" customFormat="1" x14ac:dyDescent="0.25">
      <c r="A32" s="53"/>
      <c r="B32" s="47"/>
      <c r="C32" s="82"/>
      <c r="D32" s="57"/>
      <c r="E32" s="56"/>
      <c r="F32" s="56">
        <f t="shared" si="0"/>
        <v>0</v>
      </c>
      <c r="G32" s="56">
        <f t="shared" si="1"/>
        <v>0</v>
      </c>
      <c r="H32" s="129">
        <f t="shared" si="2"/>
        <v>0</v>
      </c>
      <c r="I32" s="56">
        <f t="shared" si="3"/>
        <v>0</v>
      </c>
      <c r="J32" s="58"/>
      <c r="M32" s="21">
        <f t="shared" si="4"/>
        <v>448.8</v>
      </c>
      <c r="N32" s="66" t="e">
        <f>M32-#REF!</f>
        <v>#REF!</v>
      </c>
      <c r="O32" s="21" t="e">
        <f t="shared" si="5"/>
        <v>#REF!</v>
      </c>
    </row>
    <row r="33" spans="1:18" ht="15.75" thickBot="1" x14ac:dyDescent="0.3">
      <c r="A33" s="33"/>
      <c r="B33" s="34" t="s">
        <v>24</v>
      </c>
      <c r="C33" s="35"/>
      <c r="D33" s="62">
        <f>SUM(D16:D32)</f>
        <v>353</v>
      </c>
      <c r="E33" s="35"/>
      <c r="F33" s="62">
        <f>SUM(F16:F32)</f>
        <v>25060</v>
      </c>
      <c r="G33" s="62">
        <f>SUM(G16:G32)</f>
        <v>4260.2</v>
      </c>
      <c r="H33" s="35"/>
      <c r="I33" s="62">
        <f>SUM(I16:I32)</f>
        <v>29320.200000000004</v>
      </c>
      <c r="J33" s="37"/>
      <c r="M33" t="e">
        <f>#REF!/117*100</f>
        <v>#REF!</v>
      </c>
      <c r="O33" t="e">
        <f>M33*1.1</f>
        <v>#REF!</v>
      </c>
    </row>
    <row r="34" spans="1:18" ht="15.75" thickTop="1" x14ac:dyDescent="0.25">
      <c r="A34" s="33"/>
      <c r="B34" s="34" t="s">
        <v>2204</v>
      </c>
      <c r="C34" s="35"/>
      <c r="D34" s="35"/>
      <c r="E34" s="35"/>
      <c r="F34" s="35"/>
      <c r="G34" s="35"/>
      <c r="H34" s="35"/>
      <c r="I34" s="35"/>
      <c r="J34" s="37"/>
    </row>
    <row r="35" spans="1:18" x14ac:dyDescent="0.25">
      <c r="A35" s="33"/>
      <c r="B35" s="38" t="s">
        <v>25</v>
      </c>
      <c r="C35" s="35"/>
      <c r="D35" s="35"/>
      <c r="E35" s="35"/>
      <c r="F35" s="35"/>
      <c r="G35" s="35"/>
      <c r="H35" s="35"/>
      <c r="I35" s="35"/>
      <c r="J35" s="37"/>
      <c r="M35" s="64" t="e">
        <f>M33*#REF!</f>
        <v>#REF!</v>
      </c>
      <c r="O35" s="65" t="e">
        <f>#REF!</f>
        <v>#REF!</v>
      </c>
      <c r="P35" s="64" t="e">
        <f>O35-M35</f>
        <v>#REF!</v>
      </c>
      <c r="Q35" s="64" t="e">
        <f>#REF!*0.045</f>
        <v>#REF!</v>
      </c>
      <c r="R35" s="64" t="e">
        <f>P35-Q35</f>
        <v>#REF!</v>
      </c>
    </row>
    <row r="36" spans="1:18" ht="30" customHeight="1" x14ac:dyDescent="0.25">
      <c r="B36" s="183" t="s">
        <v>26</v>
      </c>
      <c r="C36" s="183"/>
      <c r="D36" s="183"/>
      <c r="E36" s="183"/>
      <c r="F36" s="183"/>
      <c r="G36" s="183"/>
      <c r="H36" s="183"/>
      <c r="I36" s="183"/>
      <c r="J36" s="183"/>
      <c r="P36" s="64"/>
      <c r="R36" s="65" t="e">
        <f>#REF!-#REF!</f>
        <v>#REF!</v>
      </c>
    </row>
    <row r="37" spans="1:18" x14ac:dyDescent="0.25">
      <c r="B37" t="s">
        <v>634</v>
      </c>
    </row>
    <row r="40" spans="1:18" x14ac:dyDescent="0.25">
      <c r="B40" t="s">
        <v>28</v>
      </c>
      <c r="H40" t="s">
        <v>28</v>
      </c>
    </row>
    <row r="41" spans="1:18" x14ac:dyDescent="0.25">
      <c r="B41" t="s">
        <v>29</v>
      </c>
      <c r="H41" t="s">
        <v>30</v>
      </c>
    </row>
  </sheetData>
  <autoFilter ref="A15:J37" xr:uid="{00000000-0009-0000-0000-000000000000}"/>
  <mergeCells count="5">
    <mergeCell ref="A6:J6"/>
    <mergeCell ref="I7:J7"/>
    <mergeCell ref="I8:J8"/>
    <mergeCell ref="I9:J9"/>
    <mergeCell ref="B36:J36"/>
  </mergeCells>
  <hyperlinks>
    <hyperlink ref="H5" r:id="rId1" xr:uid="{5FBBF500-159E-45A3-886D-719DAB8DBBC4}"/>
  </hyperlinks>
  <pageMargins left="0.2" right="0.1" top="0.25" bottom="0.25" header="0.3" footer="0.3"/>
  <pageSetup paperSize="9" orientation="portrait" r:id="rId2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6AB75-C6D3-43D5-AB98-4F36694CD736}">
  <dimension ref="A1:J27"/>
  <sheetViews>
    <sheetView topLeftCell="A3" workbookViewId="0">
      <selection activeCell="H19" sqref="H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2192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2198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2196</v>
      </c>
      <c r="J9" s="188"/>
    </row>
    <row r="10" spans="1:10" x14ac:dyDescent="0.25">
      <c r="B10" t="s">
        <v>9</v>
      </c>
      <c r="C10" s="10" t="s">
        <v>1708</v>
      </c>
      <c r="D10" s="10"/>
      <c r="E10" s="10"/>
      <c r="F10" s="10"/>
    </row>
    <row r="11" spans="1:10" x14ac:dyDescent="0.25">
      <c r="B11" t="s">
        <v>11</v>
      </c>
      <c r="C11" s="10" t="s">
        <v>2197</v>
      </c>
      <c r="D11" s="11"/>
      <c r="E11" s="11"/>
      <c r="F11" s="11"/>
    </row>
    <row r="12" spans="1:10" x14ac:dyDescent="0.25">
      <c r="A12" s="12"/>
      <c r="B12" s="13"/>
      <c r="C12" s="14" t="s">
        <v>1642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0" ht="5.0999999999999996" customHeight="1" x14ac:dyDescent="0.25">
      <c r="C14" s="75"/>
    </row>
    <row r="15" spans="1:10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0" s="21" customFormat="1" ht="25.5" x14ac:dyDescent="0.25">
      <c r="A16" s="53">
        <v>1</v>
      </c>
      <c r="B16" s="78" t="s">
        <v>2199</v>
      </c>
      <c r="C16" s="53" t="s">
        <v>987</v>
      </c>
      <c r="D16" s="79">
        <v>2</v>
      </c>
      <c r="E16" s="56">
        <v>7500</v>
      </c>
      <c r="F16" s="56">
        <f t="shared" ref="F16:F18" si="0">D16*E16</f>
        <v>15000</v>
      </c>
      <c r="G16" s="56">
        <f t="shared" ref="G16:G18" si="1">F16*0.17</f>
        <v>2550</v>
      </c>
      <c r="H16" s="129">
        <f t="shared" ref="H16:H18" si="2">E16*1.17</f>
        <v>8775</v>
      </c>
      <c r="I16" s="56">
        <f t="shared" ref="I16:I18" si="3">H16*D16</f>
        <v>17550</v>
      </c>
      <c r="J16" s="83"/>
    </row>
    <row r="17" spans="1:10" s="21" customFormat="1" ht="25.5" x14ac:dyDescent="0.25">
      <c r="A17" s="53">
        <v>2</v>
      </c>
      <c r="B17" s="78" t="s">
        <v>2200</v>
      </c>
      <c r="C17" s="53" t="s">
        <v>987</v>
      </c>
      <c r="D17" s="79">
        <v>2</v>
      </c>
      <c r="E17" s="56">
        <v>7500</v>
      </c>
      <c r="F17" s="56">
        <f t="shared" si="0"/>
        <v>15000</v>
      </c>
      <c r="G17" s="56">
        <f t="shared" si="1"/>
        <v>2550</v>
      </c>
      <c r="H17" s="129">
        <f t="shared" si="2"/>
        <v>8775</v>
      </c>
      <c r="I17" s="56">
        <f t="shared" si="3"/>
        <v>17550</v>
      </c>
      <c r="J17" s="83"/>
    </row>
    <row r="18" spans="1:10" s="21" customFormat="1" x14ac:dyDescent="0.25">
      <c r="A18" s="53"/>
      <c r="B18" s="47"/>
      <c r="C18" s="82"/>
      <c r="D18" s="57"/>
      <c r="E18" s="56"/>
      <c r="F18" s="56">
        <f t="shared" si="0"/>
        <v>0</v>
      </c>
      <c r="G18" s="56">
        <f t="shared" si="1"/>
        <v>0</v>
      </c>
      <c r="H18" s="129">
        <f t="shared" si="2"/>
        <v>0</v>
      </c>
      <c r="I18" s="56">
        <f t="shared" si="3"/>
        <v>0</v>
      </c>
      <c r="J18" s="58"/>
    </row>
    <row r="19" spans="1:10" ht="15.75" thickBot="1" x14ac:dyDescent="0.3">
      <c r="A19" s="33"/>
      <c r="B19" s="34" t="s">
        <v>24</v>
      </c>
      <c r="C19" s="35"/>
      <c r="D19" s="62">
        <f>SUM(D16:D18)</f>
        <v>4</v>
      </c>
      <c r="E19" s="35"/>
      <c r="F19" s="62">
        <f>SUM(F16:F18)</f>
        <v>30000</v>
      </c>
      <c r="G19" s="62">
        <f>SUM(G16:G18)</f>
        <v>5100</v>
      </c>
      <c r="H19" s="35"/>
      <c r="I19" s="62">
        <f>SUM(I16:I18)</f>
        <v>35100</v>
      </c>
      <c r="J19" s="37"/>
    </row>
    <row r="20" spans="1:10" ht="15.75" thickTop="1" x14ac:dyDescent="0.25">
      <c r="A20" s="33"/>
      <c r="B20" s="34" t="s">
        <v>1792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634</v>
      </c>
    </row>
    <row r="26" spans="1:10" x14ac:dyDescent="0.25">
      <c r="B26" t="s">
        <v>28</v>
      </c>
      <c r="H26" t="s">
        <v>28</v>
      </c>
    </row>
    <row r="27" spans="1:10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F99AD962-BA49-4C0A-8424-7F7B502A8990}"/>
  </hyperlinks>
  <pageMargins left="0.2" right="0.1" top="0.25" bottom="0.25" header="0.3" footer="0.3"/>
  <pageSetup paperSize="9" orientation="portrait" r:id="rId2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A870F-5715-43D1-ACCB-88673D814C79}">
  <dimension ref="A1:R26"/>
  <sheetViews>
    <sheetView workbookViewId="0">
      <selection activeCell="C13" sqref="C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2192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2193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2194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417</v>
      </c>
      <c r="C16" s="53" t="s">
        <v>987</v>
      </c>
      <c r="D16" s="79">
        <v>50</v>
      </c>
      <c r="E16" s="85">
        <v>90</v>
      </c>
      <c r="F16" s="56">
        <f>E16*D16</f>
        <v>4500</v>
      </c>
      <c r="G16" s="56">
        <f>F16*0.17</f>
        <v>765</v>
      </c>
      <c r="H16" s="85">
        <f>E16*1.17</f>
        <v>105.3</v>
      </c>
      <c r="I16" s="56">
        <f>H16*D16</f>
        <v>5265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50</v>
      </c>
      <c r="E18" s="35"/>
      <c r="F18" s="62">
        <f>SUM(F16:F17)</f>
        <v>4500</v>
      </c>
      <c r="G18" s="62">
        <f>SUM(G16:G17)</f>
        <v>765</v>
      </c>
      <c r="H18" s="35"/>
      <c r="I18" s="62">
        <f>SUM(I16:I17)</f>
        <v>5265</v>
      </c>
      <c r="J18" s="37"/>
    </row>
    <row r="19" spans="1:18" ht="15.75" thickTop="1" x14ac:dyDescent="0.25">
      <c r="A19" s="33"/>
      <c r="B19" s="34" t="s">
        <v>2195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8E65CE93-DA22-40A1-BB01-36BD76D4CBD8}"/>
  </hyperlinks>
  <pageMargins left="0.2" right="0.1" top="0.25" bottom="0.25" header="0.3" footer="0.3"/>
  <pageSetup paperSize="9" orientation="portrait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8A4B9-9530-48B1-9045-FC781C4DFEB8}">
  <dimension ref="A1:J34"/>
  <sheetViews>
    <sheetView topLeftCell="A7" workbookViewId="0">
      <selection activeCell="F17" sqref="F17:F2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2185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2184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>
        <v>8800751137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x14ac:dyDescent="0.25">
      <c r="C14" s="75"/>
    </row>
    <row r="15" spans="1:10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0" s="21" customFormat="1" x14ac:dyDescent="0.25">
      <c r="A16" s="53">
        <v>1</v>
      </c>
      <c r="B16" s="78" t="s">
        <v>1396</v>
      </c>
      <c r="C16" s="53" t="s">
        <v>23</v>
      </c>
      <c r="D16" s="79">
        <v>2000</v>
      </c>
      <c r="E16" s="56">
        <v>9.5</v>
      </c>
      <c r="F16" s="56">
        <f t="shared" ref="F16:F25" si="0">D16*E16</f>
        <v>19000</v>
      </c>
      <c r="G16" s="56">
        <f>F16*0</f>
        <v>0</v>
      </c>
      <c r="H16" s="129">
        <f>E16*1</f>
        <v>9.5</v>
      </c>
      <c r="I16" s="56">
        <f t="shared" ref="I16:I25" si="1">H16*D16</f>
        <v>19000</v>
      </c>
      <c r="J16" s="58"/>
    </row>
    <row r="17" spans="1:10" s="21" customFormat="1" x14ac:dyDescent="0.25">
      <c r="A17" s="53">
        <v>2</v>
      </c>
      <c r="B17" s="78" t="s">
        <v>1266</v>
      </c>
      <c r="C17" s="53" t="s">
        <v>23</v>
      </c>
      <c r="D17" s="79">
        <v>500</v>
      </c>
      <c r="E17" s="56">
        <v>53</v>
      </c>
      <c r="F17" s="56">
        <f t="shared" si="0"/>
        <v>26500</v>
      </c>
      <c r="G17" s="56">
        <f t="shared" ref="G17:G24" si="2">F17*0.17</f>
        <v>4505</v>
      </c>
      <c r="H17" s="129">
        <f t="shared" ref="H17:H24" si="3">E17*1.17</f>
        <v>62.01</v>
      </c>
      <c r="I17" s="56">
        <f t="shared" si="1"/>
        <v>31005</v>
      </c>
      <c r="J17" s="58"/>
    </row>
    <row r="18" spans="1:10" s="21" customFormat="1" x14ac:dyDescent="0.25">
      <c r="A18" s="53">
        <v>3</v>
      </c>
      <c r="B18" s="78" t="s">
        <v>2186</v>
      </c>
      <c r="C18" s="53" t="s">
        <v>23</v>
      </c>
      <c r="D18" s="79">
        <v>200</v>
      </c>
      <c r="E18" s="56">
        <v>364</v>
      </c>
      <c r="F18" s="56">
        <f t="shared" si="0"/>
        <v>72800</v>
      </c>
      <c r="G18" s="56">
        <f t="shared" si="2"/>
        <v>12376</v>
      </c>
      <c r="H18" s="129">
        <f t="shared" si="3"/>
        <v>425.88</v>
      </c>
      <c r="I18" s="56">
        <f t="shared" si="1"/>
        <v>85176</v>
      </c>
      <c r="J18" s="58"/>
    </row>
    <row r="19" spans="1:10" s="21" customFormat="1" x14ac:dyDescent="0.25">
      <c r="A19" s="53">
        <v>4</v>
      </c>
      <c r="B19" s="78" t="s">
        <v>2187</v>
      </c>
      <c r="C19" s="53" t="s">
        <v>23</v>
      </c>
      <c r="D19" s="79">
        <v>100</v>
      </c>
      <c r="E19" s="56">
        <v>350</v>
      </c>
      <c r="F19" s="56">
        <f t="shared" ref="F19:F20" si="4">D19*E19</f>
        <v>35000</v>
      </c>
      <c r="G19" s="56">
        <f t="shared" si="2"/>
        <v>5950</v>
      </c>
      <c r="H19" s="129">
        <f t="shared" si="3"/>
        <v>409.5</v>
      </c>
      <c r="I19" s="56">
        <f t="shared" ref="I19:I20" si="5">H19*D19</f>
        <v>40950</v>
      </c>
      <c r="J19" s="58"/>
    </row>
    <row r="20" spans="1:10" s="21" customFormat="1" x14ac:dyDescent="0.25">
      <c r="A20" s="53">
        <v>5</v>
      </c>
      <c r="B20" s="78" t="s">
        <v>1380</v>
      </c>
      <c r="C20" s="53" t="s">
        <v>23</v>
      </c>
      <c r="D20" s="79">
        <v>180</v>
      </c>
      <c r="E20" s="56">
        <v>330</v>
      </c>
      <c r="F20" s="56">
        <f t="shared" si="4"/>
        <v>59400</v>
      </c>
      <c r="G20" s="56">
        <f t="shared" si="2"/>
        <v>10098</v>
      </c>
      <c r="H20" s="129">
        <f t="shared" si="3"/>
        <v>386.09999999999997</v>
      </c>
      <c r="I20" s="56">
        <f t="shared" si="5"/>
        <v>69498</v>
      </c>
      <c r="J20" s="58"/>
    </row>
    <row r="21" spans="1:10" s="21" customFormat="1" x14ac:dyDescent="0.25">
      <c r="A21" s="53">
        <v>6</v>
      </c>
      <c r="B21" s="78" t="s">
        <v>1659</v>
      </c>
      <c r="C21" s="53" t="s">
        <v>23</v>
      </c>
      <c r="D21" s="79">
        <v>72</v>
      </c>
      <c r="E21" s="56">
        <v>140</v>
      </c>
      <c r="F21" s="56">
        <f t="shared" ref="F21:F22" si="6">D21*E21</f>
        <v>10080</v>
      </c>
      <c r="G21" s="56">
        <f t="shared" si="2"/>
        <v>1713.6000000000001</v>
      </c>
      <c r="H21" s="129">
        <f t="shared" si="3"/>
        <v>163.79999999999998</v>
      </c>
      <c r="I21" s="56">
        <f t="shared" ref="I21:I22" si="7">H21*D21</f>
        <v>11793.599999999999</v>
      </c>
      <c r="J21" s="58"/>
    </row>
    <row r="22" spans="1:10" s="21" customFormat="1" x14ac:dyDescent="0.25">
      <c r="A22" s="53">
        <v>7</v>
      </c>
      <c r="B22" s="78" t="s">
        <v>2188</v>
      </c>
      <c r="C22" s="53" t="s">
        <v>23</v>
      </c>
      <c r="D22" s="79">
        <v>300</v>
      </c>
      <c r="E22" s="56">
        <v>182</v>
      </c>
      <c r="F22" s="56">
        <f t="shared" si="6"/>
        <v>54600</v>
      </c>
      <c r="G22" s="56">
        <f t="shared" si="2"/>
        <v>9282</v>
      </c>
      <c r="H22" s="129">
        <f t="shared" si="3"/>
        <v>212.94</v>
      </c>
      <c r="I22" s="56">
        <f t="shared" si="7"/>
        <v>63882</v>
      </c>
      <c r="J22" s="58"/>
    </row>
    <row r="23" spans="1:10" s="21" customFormat="1" x14ac:dyDescent="0.25">
      <c r="A23" s="53">
        <v>8</v>
      </c>
      <c r="B23" s="78" t="s">
        <v>2189</v>
      </c>
      <c r="C23" s="53" t="s">
        <v>23</v>
      </c>
      <c r="D23" s="79">
        <v>100</v>
      </c>
      <c r="E23" s="56">
        <v>78</v>
      </c>
      <c r="F23" s="56">
        <f t="shared" si="0"/>
        <v>7800</v>
      </c>
      <c r="G23" s="56">
        <f t="shared" si="2"/>
        <v>1326</v>
      </c>
      <c r="H23" s="129">
        <f t="shared" si="3"/>
        <v>91.259999999999991</v>
      </c>
      <c r="I23" s="56">
        <f t="shared" si="1"/>
        <v>9126</v>
      </c>
      <c r="J23" s="58"/>
    </row>
    <row r="24" spans="1:10" s="21" customFormat="1" x14ac:dyDescent="0.25">
      <c r="A24" s="53">
        <v>9</v>
      </c>
      <c r="B24" s="78" t="s">
        <v>2190</v>
      </c>
      <c r="C24" s="53" t="s">
        <v>23</v>
      </c>
      <c r="D24" s="79">
        <v>1000</v>
      </c>
      <c r="E24" s="56">
        <v>17.8</v>
      </c>
      <c r="F24" s="56">
        <f t="shared" ref="F24" si="8">D24*E24</f>
        <v>17800</v>
      </c>
      <c r="G24" s="56">
        <f t="shared" si="2"/>
        <v>3026</v>
      </c>
      <c r="H24" s="129">
        <f t="shared" si="3"/>
        <v>20.826000000000001</v>
      </c>
      <c r="I24" s="56">
        <f t="shared" ref="I24" si="9">H24*D24</f>
        <v>20826</v>
      </c>
      <c r="J24" s="58"/>
    </row>
    <row r="25" spans="1:10" s="21" customFormat="1" x14ac:dyDescent="0.25">
      <c r="A25" s="53"/>
      <c r="B25" s="47"/>
      <c r="C25" s="82"/>
      <c r="D25" s="57"/>
      <c r="E25" s="56"/>
      <c r="F25" s="56">
        <f t="shared" si="0"/>
        <v>0</v>
      </c>
      <c r="G25" s="56">
        <f t="shared" ref="G25" si="10">F25*0.17</f>
        <v>0</v>
      </c>
      <c r="H25" s="129">
        <f t="shared" ref="H25" si="11">E25*1.17</f>
        <v>0</v>
      </c>
      <c r="I25" s="56">
        <f t="shared" si="1"/>
        <v>0</v>
      </c>
      <c r="J25" s="58"/>
    </row>
    <row r="26" spans="1:10" ht="15.75" thickBot="1" x14ac:dyDescent="0.3">
      <c r="A26" s="33"/>
      <c r="B26" s="34" t="s">
        <v>24</v>
      </c>
      <c r="C26" s="35"/>
      <c r="D26" s="62">
        <f>SUM(D16:D25)</f>
        <v>4452</v>
      </c>
      <c r="E26" s="35"/>
      <c r="F26" s="62">
        <f>SUM(F16:F25)</f>
        <v>302980</v>
      </c>
      <c r="G26" s="62">
        <f>SUM(G16:G25)</f>
        <v>48276.6</v>
      </c>
      <c r="H26" s="35"/>
      <c r="I26" s="62">
        <f>SUM(I16:I25)</f>
        <v>351256.6</v>
      </c>
      <c r="J26" s="37"/>
    </row>
    <row r="27" spans="1:10" ht="15.75" thickTop="1" x14ac:dyDescent="0.25">
      <c r="A27" s="33"/>
      <c r="B27" s="34" t="s">
        <v>2191</v>
      </c>
      <c r="C27" s="35"/>
      <c r="D27" s="35"/>
      <c r="E27" s="35"/>
      <c r="F27" s="35"/>
      <c r="G27" s="35"/>
      <c r="H27" s="35"/>
      <c r="I27" s="35"/>
      <c r="J27" s="37"/>
    </row>
    <row r="28" spans="1:10" x14ac:dyDescent="0.25">
      <c r="A28" s="33"/>
      <c r="B28" s="38" t="s">
        <v>25</v>
      </c>
      <c r="C28" s="35"/>
      <c r="D28" s="35"/>
      <c r="E28" s="35"/>
      <c r="F28" s="35"/>
      <c r="G28" s="35"/>
      <c r="H28" s="35"/>
      <c r="I28" s="35"/>
      <c r="J28" s="37"/>
    </row>
    <row r="29" spans="1:10" ht="30" customHeight="1" x14ac:dyDescent="0.25">
      <c r="B29" s="183" t="s">
        <v>26</v>
      </c>
      <c r="C29" s="183"/>
      <c r="D29" s="183"/>
      <c r="E29" s="183"/>
      <c r="F29" s="183"/>
      <c r="G29" s="183"/>
      <c r="H29" s="183"/>
      <c r="I29" s="183"/>
      <c r="J29" s="183"/>
    </row>
    <row r="30" spans="1:10" x14ac:dyDescent="0.25">
      <c r="B30" t="s">
        <v>634</v>
      </c>
    </row>
    <row r="33" spans="2:8" x14ac:dyDescent="0.25">
      <c r="B33" t="s">
        <v>28</v>
      </c>
      <c r="H33" t="s">
        <v>28</v>
      </c>
    </row>
    <row r="34" spans="2:8" x14ac:dyDescent="0.25">
      <c r="B34" t="s">
        <v>29</v>
      </c>
      <c r="H34" t="s">
        <v>30</v>
      </c>
    </row>
  </sheetData>
  <autoFilter ref="A15:J30" xr:uid="{00000000-0009-0000-0000-000000000000}"/>
  <mergeCells count="5">
    <mergeCell ref="A6:J6"/>
    <mergeCell ref="I7:J7"/>
    <mergeCell ref="I8:J8"/>
    <mergeCell ref="I9:J9"/>
    <mergeCell ref="B29:J29"/>
  </mergeCells>
  <hyperlinks>
    <hyperlink ref="H5" r:id="rId1" xr:uid="{DD54F1BE-5385-4EBC-BDE4-66DB1C242887}"/>
  </hyperlinks>
  <pageMargins left="0.2" right="0.1" top="0.25" bottom="0.25" header="0.3" footer="0.3"/>
  <pageSetup paperSize="9" orientation="portrait" r:id="rId2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4C9D9-9506-44A4-B539-65A12D9E62A5}">
  <dimension ref="A1:R37"/>
  <sheetViews>
    <sheetView topLeftCell="A13" workbookViewId="0">
      <selection activeCell="F24" activeCellId="3" sqref="F17:F18 F21 F23 F2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8" width="8.28515625" customWidth="1"/>
    <col min="9" max="9" width="9.28515625" customWidth="1"/>
    <col min="10" max="10" width="12.4257812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2168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2177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21" t="s">
        <v>2176</v>
      </c>
      <c r="D10" s="10"/>
      <c r="E10" s="10"/>
      <c r="F10" s="10"/>
    </row>
    <row r="11" spans="1:15" x14ac:dyDescent="0.25">
      <c r="B11" t="s">
        <v>11</v>
      </c>
      <c r="C11" s="132" t="s">
        <v>1884</v>
      </c>
      <c r="D11" s="11"/>
      <c r="E11" s="11"/>
      <c r="F11" s="11"/>
    </row>
    <row r="12" spans="1:15" x14ac:dyDescent="0.25">
      <c r="A12" s="12"/>
      <c r="B12" s="13"/>
      <c r="C12" s="140" t="s">
        <v>1885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1" t="s">
        <v>2311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1889</v>
      </c>
      <c r="C16" s="53" t="s">
        <v>23</v>
      </c>
      <c r="D16" s="79">
        <v>50</v>
      </c>
      <c r="E16" s="56">
        <v>18</v>
      </c>
      <c r="F16" s="56">
        <f t="shared" ref="F16:F28" si="0">D16*E16</f>
        <v>900</v>
      </c>
      <c r="G16" s="56">
        <f t="shared" ref="G16" si="1">F16*0.17</f>
        <v>153</v>
      </c>
      <c r="H16" s="85">
        <f t="shared" ref="H16" si="2">E16*1.17</f>
        <v>21.06</v>
      </c>
      <c r="I16" s="130">
        <f t="shared" ref="I16:I28" si="3">H16*D16</f>
        <v>1053</v>
      </c>
      <c r="J16" s="83"/>
      <c r="L16" s="21" t="s">
        <v>1572</v>
      </c>
      <c r="M16" s="21">
        <f t="shared" ref="M16:M28" si="4">440*1.02</f>
        <v>448.8</v>
      </c>
      <c r="N16" s="66" t="e">
        <f>M16-#REF!</f>
        <v>#REF!</v>
      </c>
      <c r="O16" s="21" t="e">
        <f t="shared" ref="O16:O28" si="5">N16*D16</f>
        <v>#REF!</v>
      </c>
    </row>
    <row r="17" spans="1:18" s="21" customFormat="1" ht="25.5" x14ac:dyDescent="0.25">
      <c r="A17" s="53">
        <f>A16+1</f>
        <v>2</v>
      </c>
      <c r="B17" s="78" t="s">
        <v>948</v>
      </c>
      <c r="C17" s="53" t="s">
        <v>23</v>
      </c>
      <c r="D17" s="79">
        <v>36</v>
      </c>
      <c r="E17" s="56">
        <v>25</v>
      </c>
      <c r="F17" s="56">
        <f t="shared" si="0"/>
        <v>900</v>
      </c>
      <c r="G17" s="56">
        <f>F17*0</f>
        <v>0</v>
      </c>
      <c r="H17" s="85">
        <f>E17*1</f>
        <v>25</v>
      </c>
      <c r="I17" s="130">
        <f t="shared" si="3"/>
        <v>900</v>
      </c>
      <c r="J17" s="83"/>
      <c r="L17" s="21" t="s">
        <v>1572</v>
      </c>
      <c r="M17" s="21">
        <f t="shared" si="4"/>
        <v>448.8</v>
      </c>
      <c r="N17" s="66" t="e">
        <f>M17-#REF!</f>
        <v>#REF!</v>
      </c>
      <c r="O17" s="21" t="e">
        <f t="shared" si="5"/>
        <v>#REF!</v>
      </c>
    </row>
    <row r="18" spans="1:18" s="21" customFormat="1" ht="25.5" x14ac:dyDescent="0.25">
      <c r="A18" s="53">
        <f t="shared" ref="A18:A27" si="6">A17+1</f>
        <v>3</v>
      </c>
      <c r="B18" s="78" t="s">
        <v>2178</v>
      </c>
      <c r="C18" s="53" t="s">
        <v>23</v>
      </c>
      <c r="D18" s="79">
        <v>12</v>
      </c>
      <c r="E18" s="56">
        <v>25</v>
      </c>
      <c r="F18" s="56">
        <f t="shared" si="0"/>
        <v>300</v>
      </c>
      <c r="G18" s="56">
        <f>F18*0</f>
        <v>0</v>
      </c>
      <c r="H18" s="85">
        <f>E18*1</f>
        <v>25</v>
      </c>
      <c r="I18" s="130">
        <f t="shared" si="3"/>
        <v>300</v>
      </c>
      <c r="J18" s="83"/>
      <c r="L18" s="21" t="s">
        <v>1572</v>
      </c>
      <c r="M18" s="21">
        <f t="shared" si="4"/>
        <v>448.8</v>
      </c>
      <c r="N18" s="66" t="e">
        <f>M18-#REF!</f>
        <v>#REF!</v>
      </c>
      <c r="O18" s="21" t="e">
        <f t="shared" si="5"/>
        <v>#REF!</v>
      </c>
    </row>
    <row r="19" spans="1:18" s="21" customFormat="1" ht="25.5" x14ac:dyDescent="0.25">
      <c r="A19" s="53">
        <f t="shared" si="6"/>
        <v>4</v>
      </c>
      <c r="B19" s="78" t="s">
        <v>1896</v>
      </c>
      <c r="C19" s="53" t="s">
        <v>23</v>
      </c>
      <c r="D19" s="79">
        <v>24</v>
      </c>
      <c r="E19" s="56">
        <v>32</v>
      </c>
      <c r="F19" s="56">
        <f t="shared" si="0"/>
        <v>768</v>
      </c>
      <c r="G19" s="56">
        <f t="shared" ref="G19:G28" si="7">F19*0.17</f>
        <v>130.56</v>
      </c>
      <c r="H19" s="85">
        <f t="shared" ref="H19:H28" si="8">E19*1.17</f>
        <v>37.44</v>
      </c>
      <c r="I19" s="130">
        <f t="shared" si="3"/>
        <v>898.56</v>
      </c>
      <c r="J19" s="83"/>
      <c r="L19" s="21" t="s">
        <v>1572</v>
      </c>
      <c r="M19" s="21">
        <f t="shared" si="4"/>
        <v>448.8</v>
      </c>
      <c r="N19" s="66" t="e">
        <f>M19-#REF!</f>
        <v>#REF!</v>
      </c>
      <c r="O19" s="21" t="e">
        <f t="shared" si="5"/>
        <v>#REF!</v>
      </c>
    </row>
    <row r="20" spans="1:18" s="21" customFormat="1" ht="25.5" x14ac:dyDescent="0.25">
      <c r="A20" s="53">
        <f t="shared" si="6"/>
        <v>5</v>
      </c>
      <c r="B20" s="78" t="s">
        <v>2179</v>
      </c>
      <c r="C20" s="53" t="s">
        <v>23</v>
      </c>
      <c r="D20" s="79">
        <v>12</v>
      </c>
      <c r="E20" s="56">
        <v>32</v>
      </c>
      <c r="F20" s="56">
        <f t="shared" si="0"/>
        <v>384</v>
      </c>
      <c r="G20" s="56">
        <f t="shared" si="7"/>
        <v>65.28</v>
      </c>
      <c r="H20" s="85">
        <f t="shared" si="8"/>
        <v>37.44</v>
      </c>
      <c r="I20" s="130">
        <f t="shared" si="3"/>
        <v>449.28</v>
      </c>
      <c r="J20" s="83"/>
      <c r="L20" s="21" t="s">
        <v>1572</v>
      </c>
      <c r="M20" s="21">
        <f t="shared" si="4"/>
        <v>448.8</v>
      </c>
      <c r="N20" s="66" t="e">
        <f>M20-#REF!</f>
        <v>#REF!</v>
      </c>
      <c r="O20" s="21" t="e">
        <f t="shared" si="5"/>
        <v>#REF!</v>
      </c>
    </row>
    <row r="21" spans="1:18" s="21" customFormat="1" ht="15.75" x14ac:dyDescent="0.25">
      <c r="A21" s="53">
        <f t="shared" si="6"/>
        <v>6</v>
      </c>
      <c r="B21" s="78" t="s">
        <v>927</v>
      </c>
      <c r="C21" s="53" t="s">
        <v>76</v>
      </c>
      <c r="D21" s="79">
        <v>1</v>
      </c>
      <c r="E21" s="56">
        <v>90</v>
      </c>
      <c r="F21" s="56">
        <f t="shared" si="0"/>
        <v>90</v>
      </c>
      <c r="G21" s="56">
        <f>F21*0</f>
        <v>0</v>
      </c>
      <c r="H21" s="85">
        <f>E21*1</f>
        <v>90</v>
      </c>
      <c r="I21" s="130">
        <f t="shared" si="3"/>
        <v>90</v>
      </c>
      <c r="J21" s="83"/>
      <c r="L21" s="21" t="s">
        <v>1572</v>
      </c>
      <c r="M21" s="21">
        <f t="shared" si="4"/>
        <v>448.8</v>
      </c>
      <c r="N21" s="66" t="e">
        <f>M21-#REF!</f>
        <v>#REF!</v>
      </c>
      <c r="O21" s="21" t="e">
        <f t="shared" si="5"/>
        <v>#REF!</v>
      </c>
    </row>
    <row r="22" spans="1:18" s="21" customFormat="1" ht="15.75" x14ac:dyDescent="0.25">
      <c r="A22" s="53">
        <f t="shared" si="6"/>
        <v>7</v>
      </c>
      <c r="B22" s="78" t="s">
        <v>377</v>
      </c>
      <c r="C22" s="53" t="s">
        <v>23</v>
      </c>
      <c r="D22" s="79">
        <v>20</v>
      </c>
      <c r="E22" s="56">
        <v>88</v>
      </c>
      <c r="F22" s="56">
        <f t="shared" si="0"/>
        <v>1760</v>
      </c>
      <c r="G22" s="56">
        <f t="shared" si="7"/>
        <v>299.20000000000005</v>
      </c>
      <c r="H22" s="85">
        <f t="shared" si="8"/>
        <v>102.96</v>
      </c>
      <c r="I22" s="130">
        <f t="shared" si="3"/>
        <v>2059.1999999999998</v>
      </c>
      <c r="J22" s="83"/>
      <c r="L22" s="21" t="s">
        <v>1572</v>
      </c>
      <c r="M22" s="21">
        <f t="shared" si="4"/>
        <v>448.8</v>
      </c>
      <c r="N22" s="66" t="e">
        <f>M22-#REF!</f>
        <v>#REF!</v>
      </c>
      <c r="O22" s="21" t="e">
        <f t="shared" si="5"/>
        <v>#REF!</v>
      </c>
    </row>
    <row r="23" spans="1:18" s="21" customFormat="1" ht="15.75" x14ac:dyDescent="0.25">
      <c r="A23" s="53">
        <f t="shared" si="6"/>
        <v>8</v>
      </c>
      <c r="B23" s="78" t="s">
        <v>2180</v>
      </c>
      <c r="C23" s="53" t="s">
        <v>23</v>
      </c>
      <c r="D23" s="79">
        <v>20</v>
      </c>
      <c r="E23" s="56">
        <v>7.5</v>
      </c>
      <c r="F23" s="56">
        <f t="shared" si="0"/>
        <v>150</v>
      </c>
      <c r="G23" s="56">
        <f t="shared" ref="G23:G24" si="9">F23*0</f>
        <v>0</v>
      </c>
      <c r="H23" s="85">
        <f t="shared" ref="H23:H24" si="10">E23*1</f>
        <v>7.5</v>
      </c>
      <c r="I23" s="130">
        <f t="shared" si="3"/>
        <v>150</v>
      </c>
      <c r="J23" s="83"/>
      <c r="L23" s="21" t="s">
        <v>1572</v>
      </c>
      <c r="M23" s="21">
        <f t="shared" si="4"/>
        <v>448.8</v>
      </c>
      <c r="N23" s="66" t="e">
        <f>M23-#REF!</f>
        <v>#REF!</v>
      </c>
      <c r="O23" s="21" t="e">
        <f t="shared" si="5"/>
        <v>#REF!</v>
      </c>
    </row>
    <row r="24" spans="1:18" s="21" customFormat="1" ht="15.75" x14ac:dyDescent="0.25">
      <c r="A24" s="53">
        <f t="shared" si="6"/>
        <v>9</v>
      </c>
      <c r="B24" s="78" t="s">
        <v>2181</v>
      </c>
      <c r="C24" s="53" t="s">
        <v>23</v>
      </c>
      <c r="D24" s="79">
        <v>20</v>
      </c>
      <c r="E24" s="56">
        <v>7.5</v>
      </c>
      <c r="F24" s="56">
        <f t="shared" si="0"/>
        <v>150</v>
      </c>
      <c r="G24" s="56">
        <f t="shared" si="9"/>
        <v>0</v>
      </c>
      <c r="H24" s="85">
        <f t="shared" si="10"/>
        <v>7.5</v>
      </c>
      <c r="I24" s="130">
        <f t="shared" si="3"/>
        <v>150</v>
      </c>
      <c r="J24" s="83"/>
      <c r="L24" s="21" t="s">
        <v>1572</v>
      </c>
      <c r="M24" s="21">
        <f t="shared" si="4"/>
        <v>448.8</v>
      </c>
      <c r="N24" s="66" t="e">
        <f>M24-#REF!</f>
        <v>#REF!</v>
      </c>
      <c r="O24" s="21" t="e">
        <f t="shared" si="5"/>
        <v>#REF!</v>
      </c>
    </row>
    <row r="25" spans="1:18" s="21" customFormat="1" ht="15.75" x14ac:dyDescent="0.25">
      <c r="A25" s="53">
        <f t="shared" si="6"/>
        <v>10</v>
      </c>
      <c r="B25" s="78" t="s">
        <v>1894</v>
      </c>
      <c r="C25" s="53" t="s">
        <v>23</v>
      </c>
      <c r="D25" s="79">
        <v>50</v>
      </c>
      <c r="E25" s="56">
        <v>5</v>
      </c>
      <c r="F25" s="56">
        <f t="shared" si="0"/>
        <v>250</v>
      </c>
      <c r="G25" s="56">
        <f t="shared" si="7"/>
        <v>42.5</v>
      </c>
      <c r="H25" s="85">
        <f t="shared" si="8"/>
        <v>5.85</v>
      </c>
      <c r="I25" s="130">
        <f t="shared" si="3"/>
        <v>292.5</v>
      </c>
      <c r="J25" s="83"/>
      <c r="L25" s="21" t="s">
        <v>1572</v>
      </c>
      <c r="M25" s="21">
        <f t="shared" si="4"/>
        <v>448.8</v>
      </c>
      <c r="N25" s="66" t="e">
        <f>M25-#REF!</f>
        <v>#REF!</v>
      </c>
      <c r="O25" s="21" t="e">
        <f t="shared" si="5"/>
        <v>#REF!</v>
      </c>
    </row>
    <row r="26" spans="1:18" s="21" customFormat="1" ht="15.75" x14ac:dyDescent="0.25">
      <c r="A26" s="53">
        <f t="shared" si="6"/>
        <v>11</v>
      </c>
      <c r="B26" s="78" t="s">
        <v>1895</v>
      </c>
      <c r="C26" s="53" t="s">
        <v>23</v>
      </c>
      <c r="D26" s="79">
        <v>50</v>
      </c>
      <c r="E26" s="56">
        <v>2</v>
      </c>
      <c r="F26" s="56">
        <f t="shared" si="0"/>
        <v>100</v>
      </c>
      <c r="G26" s="56">
        <f t="shared" si="7"/>
        <v>17</v>
      </c>
      <c r="H26" s="85">
        <f t="shared" si="8"/>
        <v>2.34</v>
      </c>
      <c r="I26" s="130">
        <f t="shared" si="3"/>
        <v>117</v>
      </c>
      <c r="J26" s="83"/>
      <c r="L26" s="21" t="s">
        <v>1572</v>
      </c>
      <c r="M26" s="21">
        <f t="shared" si="4"/>
        <v>448.8</v>
      </c>
      <c r="N26" s="66" t="e">
        <f>M26-#REF!</f>
        <v>#REF!</v>
      </c>
      <c r="O26" s="21" t="e">
        <f t="shared" si="5"/>
        <v>#REF!</v>
      </c>
    </row>
    <row r="27" spans="1:18" s="21" customFormat="1" ht="15.75" x14ac:dyDescent="0.25">
      <c r="A27" s="53">
        <f t="shared" si="6"/>
        <v>12</v>
      </c>
      <c r="B27" s="78" t="s">
        <v>2182</v>
      </c>
      <c r="C27" s="53" t="s">
        <v>76</v>
      </c>
      <c r="D27" s="79">
        <v>1</v>
      </c>
      <c r="E27" s="56">
        <v>380</v>
      </c>
      <c r="F27" s="56">
        <f t="shared" si="0"/>
        <v>380</v>
      </c>
      <c r="G27" s="56">
        <f t="shared" si="7"/>
        <v>64.600000000000009</v>
      </c>
      <c r="H27" s="85">
        <f t="shared" si="8"/>
        <v>444.59999999999997</v>
      </c>
      <c r="I27" s="130">
        <f t="shared" si="3"/>
        <v>444.59999999999997</v>
      </c>
      <c r="J27" s="83"/>
      <c r="L27" s="21" t="s">
        <v>1572</v>
      </c>
      <c r="M27" s="21">
        <f t="shared" si="4"/>
        <v>448.8</v>
      </c>
      <c r="N27" s="66" t="e">
        <f>M27-#REF!</f>
        <v>#REF!</v>
      </c>
      <c r="O27" s="21" t="e">
        <f t="shared" si="5"/>
        <v>#REF!</v>
      </c>
    </row>
    <row r="28" spans="1:18" s="21" customFormat="1" x14ac:dyDescent="0.25">
      <c r="A28" s="53"/>
      <c r="B28" s="47"/>
      <c r="C28" s="82"/>
      <c r="D28" s="57"/>
      <c r="E28" s="56"/>
      <c r="F28" s="56">
        <f t="shared" si="0"/>
        <v>0</v>
      </c>
      <c r="G28" s="56">
        <f t="shared" si="7"/>
        <v>0</v>
      </c>
      <c r="H28" s="85">
        <f t="shared" si="8"/>
        <v>0</v>
      </c>
      <c r="I28" s="130">
        <f t="shared" si="3"/>
        <v>0</v>
      </c>
      <c r="J28" s="58"/>
      <c r="M28" s="21">
        <f t="shared" si="4"/>
        <v>448.8</v>
      </c>
      <c r="N28" s="66" t="e">
        <f>M28-#REF!</f>
        <v>#REF!</v>
      </c>
      <c r="O28" s="21" t="e">
        <f t="shared" si="5"/>
        <v>#REF!</v>
      </c>
    </row>
    <row r="29" spans="1:18" ht="15.75" thickBot="1" x14ac:dyDescent="0.3">
      <c r="A29" s="33"/>
      <c r="B29" s="34" t="s">
        <v>24</v>
      </c>
      <c r="C29" s="35"/>
      <c r="D29" s="62">
        <f>SUM(D16:D28)</f>
        <v>296</v>
      </c>
      <c r="E29" s="35"/>
      <c r="F29" s="62">
        <f>SUM(F16:F28)</f>
        <v>6132</v>
      </c>
      <c r="G29" s="62">
        <f>SUM(G16:G28)</f>
        <v>772.1400000000001</v>
      </c>
      <c r="H29" s="35"/>
      <c r="I29" s="148">
        <f>SUM(I16:I28)</f>
        <v>6904.14</v>
      </c>
      <c r="J29" s="37"/>
      <c r="M29" t="e">
        <f>#REF!/117*100</f>
        <v>#REF!</v>
      </c>
      <c r="O29" t="e">
        <f>M29*1.1</f>
        <v>#REF!</v>
      </c>
    </row>
    <row r="30" spans="1:18" ht="15.75" thickTop="1" x14ac:dyDescent="0.25">
      <c r="A30" s="33"/>
      <c r="B30" s="34" t="s">
        <v>2183</v>
      </c>
      <c r="C30" s="35"/>
      <c r="D30" s="35"/>
      <c r="E30" s="35"/>
      <c r="F30" s="35"/>
      <c r="G30" s="35"/>
      <c r="H30" s="35"/>
      <c r="I30" s="35"/>
      <c r="J30" s="37"/>
    </row>
    <row r="31" spans="1:18" x14ac:dyDescent="0.25">
      <c r="A31" s="33"/>
      <c r="B31" s="38" t="s">
        <v>25</v>
      </c>
      <c r="C31" s="35"/>
      <c r="D31" s="35"/>
      <c r="E31" s="35"/>
      <c r="F31" s="35"/>
      <c r="G31" s="35"/>
      <c r="H31" s="35"/>
      <c r="I31" s="35"/>
      <c r="J31" s="37"/>
      <c r="M31" s="64" t="e">
        <f>M29*#REF!</f>
        <v>#REF!</v>
      </c>
      <c r="O31" s="65" t="e">
        <f>#REF!</f>
        <v>#REF!</v>
      </c>
      <c r="P31" s="64" t="e">
        <f>O31-M31</f>
        <v>#REF!</v>
      </c>
      <c r="Q31" s="64" t="e">
        <f>#REF!*0.045</f>
        <v>#REF!</v>
      </c>
      <c r="R31" s="64" t="e">
        <f>P31-Q31</f>
        <v>#REF!</v>
      </c>
    </row>
    <row r="32" spans="1:18" ht="30" customHeight="1" x14ac:dyDescent="0.25">
      <c r="B32" s="183" t="s">
        <v>26</v>
      </c>
      <c r="C32" s="183"/>
      <c r="D32" s="183"/>
      <c r="E32" s="183"/>
      <c r="F32" s="183"/>
      <c r="G32" s="183"/>
      <c r="H32" s="183"/>
      <c r="I32" s="183"/>
      <c r="J32" s="183"/>
      <c r="P32" s="64"/>
      <c r="R32" s="65" t="e">
        <f>#REF!-#REF!</f>
        <v>#REF!</v>
      </c>
    </row>
    <row r="33" spans="2:8" x14ac:dyDescent="0.25">
      <c r="B33" t="s">
        <v>634</v>
      </c>
    </row>
    <row r="36" spans="2:8" x14ac:dyDescent="0.25">
      <c r="B36" t="s">
        <v>28</v>
      </c>
      <c r="H36" t="s">
        <v>28</v>
      </c>
    </row>
    <row r="37" spans="2:8" x14ac:dyDescent="0.25">
      <c r="B37" t="s">
        <v>29</v>
      </c>
      <c r="H37" t="s">
        <v>30</v>
      </c>
    </row>
  </sheetData>
  <autoFilter ref="A15:J33" xr:uid="{00000000-0009-0000-0000-000000000000}"/>
  <mergeCells count="5">
    <mergeCell ref="A6:J6"/>
    <mergeCell ref="I7:J7"/>
    <mergeCell ref="I8:J8"/>
    <mergeCell ref="I9:J9"/>
    <mergeCell ref="B32:J32"/>
  </mergeCells>
  <hyperlinks>
    <hyperlink ref="H5" r:id="rId1" xr:uid="{CA3DFE81-DCF2-4CD9-8AFC-CF2165A6D4A6}"/>
  </hyperlinks>
  <pageMargins left="0.2" right="0.1" top="0.25" bottom="0.25" header="0.3" footer="0.3"/>
  <pageSetup paperSize="9" orientation="portrait" r:id="rId2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7A17A-763D-4FA4-B546-494362B54144}">
  <dimension ref="A1:R26"/>
  <sheetViews>
    <sheetView workbookViewId="0">
      <selection activeCell="C13" sqref="C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8" width="8.28515625" customWidth="1"/>
    <col min="9" max="9" width="9.140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2168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2166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1883</v>
      </c>
      <c r="D10" s="10"/>
      <c r="E10" s="10"/>
      <c r="F10" s="10"/>
    </row>
    <row r="11" spans="1:15" x14ac:dyDescent="0.25">
      <c r="B11" t="s">
        <v>11</v>
      </c>
      <c r="C11" s="132" t="s">
        <v>1884</v>
      </c>
      <c r="D11" s="11"/>
      <c r="E11" s="11"/>
      <c r="F11" s="11"/>
    </row>
    <row r="12" spans="1:15" x14ac:dyDescent="0.25">
      <c r="A12" s="12"/>
      <c r="B12" s="13"/>
      <c r="C12" s="140" t="s">
        <v>1885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1" t="s">
        <v>1886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2215</v>
      </c>
      <c r="C16" s="53" t="s">
        <v>23</v>
      </c>
      <c r="D16" s="79">
        <v>6</v>
      </c>
      <c r="E16" s="56">
        <v>360</v>
      </c>
      <c r="F16" s="56">
        <f t="shared" ref="F16:F17" si="0">D16*E16</f>
        <v>2160</v>
      </c>
      <c r="G16" s="56">
        <f>F16*0.17</f>
        <v>367.20000000000005</v>
      </c>
      <c r="H16" s="85">
        <f>E16*1.17</f>
        <v>421.2</v>
      </c>
      <c r="I16" s="85">
        <f t="shared" ref="I16:I17" si="1">H16*D16</f>
        <v>2527.1999999999998</v>
      </c>
      <c r="J16" s="83"/>
      <c r="L16" s="21" t="s">
        <v>1572</v>
      </c>
      <c r="M16" s="21">
        <f t="shared" ref="M16:M17" si="2">440*1.02</f>
        <v>448.8</v>
      </c>
      <c r="N16" s="66" t="e">
        <f>M16-#REF!</f>
        <v>#REF!</v>
      </c>
      <c r="O16" s="21" t="e">
        <f t="shared" ref="O16:O17" si="3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si="0"/>
        <v>0</v>
      </c>
      <c r="G17" s="56">
        <f t="shared" ref="G17" si="4">F17*0.17</f>
        <v>0</v>
      </c>
      <c r="H17" s="129">
        <f t="shared" ref="H17" si="5">E17*1.17</f>
        <v>0</v>
      </c>
      <c r="I17" s="56">
        <f t="shared" si="1"/>
        <v>0</v>
      </c>
      <c r="J17" s="58"/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6</v>
      </c>
      <c r="E18" s="35"/>
      <c r="F18" s="62">
        <f>SUM(F16:F17)</f>
        <v>2160</v>
      </c>
      <c r="G18" s="62">
        <f>SUM(G16:G17)</f>
        <v>367.20000000000005</v>
      </c>
      <c r="H18" s="35"/>
      <c r="I18" s="147">
        <f>SUM(I16:I17)</f>
        <v>2527.1999999999998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2216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BD0EDE1F-1DA8-4FBC-ADF3-0CE685EFB496}"/>
  </hyperlinks>
  <pageMargins left="0.2" right="0.1" top="0.25" bottom="0.25" header="0.3" footer="0.3"/>
  <pageSetup paperSize="9" orientation="portrait" r:id="rId2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34679-5F72-4B6E-B172-FD5E8C5F99D4}">
  <dimension ref="A1:R40"/>
  <sheetViews>
    <sheetView topLeftCell="A15" workbookViewId="0">
      <selection activeCell="F30" activeCellId="2" sqref="F16:F17 F28 F3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8" width="8.28515625" customWidth="1"/>
    <col min="9" max="9" width="9.28515625" customWidth="1"/>
    <col min="10" max="10" width="12.4257812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2168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2167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5" x14ac:dyDescent="0.25">
      <c r="B10" t="s">
        <v>9</v>
      </c>
      <c r="C10" s="10" t="s">
        <v>1883</v>
      </c>
      <c r="D10" s="10"/>
      <c r="E10" s="10"/>
      <c r="F10" s="10"/>
    </row>
    <row r="11" spans="1:15" x14ac:dyDescent="0.25">
      <c r="B11" t="s">
        <v>11</v>
      </c>
      <c r="C11" s="132" t="s">
        <v>1884</v>
      </c>
      <c r="D11" s="11"/>
      <c r="E11" s="11"/>
      <c r="F11" s="11"/>
    </row>
    <row r="12" spans="1:15" x14ac:dyDescent="0.25">
      <c r="A12" s="12"/>
      <c r="B12" s="13"/>
      <c r="C12" s="140" t="s">
        <v>1885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1" t="s">
        <v>1886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25.5" x14ac:dyDescent="0.25">
      <c r="A16" s="53">
        <v>1</v>
      </c>
      <c r="B16" s="78" t="s">
        <v>1896</v>
      </c>
      <c r="C16" s="53" t="s">
        <v>23</v>
      </c>
      <c r="D16" s="79">
        <v>12</v>
      </c>
      <c r="E16" s="56">
        <v>32</v>
      </c>
      <c r="F16" s="56">
        <f t="shared" ref="F16:F31" si="0">D16*E16</f>
        <v>384</v>
      </c>
      <c r="G16" s="56">
        <f>F16*0</f>
        <v>0</v>
      </c>
      <c r="H16" s="85">
        <f>E16*1</f>
        <v>32</v>
      </c>
      <c r="I16" s="130">
        <f t="shared" ref="I16:I31" si="1">H16*D16</f>
        <v>384</v>
      </c>
      <c r="J16" s="83"/>
      <c r="L16" s="21" t="s">
        <v>1572</v>
      </c>
      <c r="M16" s="21">
        <f t="shared" ref="M16:M31" si="2">440*1.02</f>
        <v>448.8</v>
      </c>
      <c r="N16" s="66" t="e">
        <f>M16-#REF!</f>
        <v>#REF!</v>
      </c>
      <c r="O16" s="21" t="e">
        <f t="shared" ref="O16:O31" si="3">N16*D16</f>
        <v>#REF!</v>
      </c>
    </row>
    <row r="17" spans="1:15" s="21" customFormat="1" ht="25.5" x14ac:dyDescent="0.25">
      <c r="A17" s="53">
        <f>A16+1</f>
        <v>2</v>
      </c>
      <c r="B17" s="78" t="s">
        <v>948</v>
      </c>
      <c r="C17" s="53" t="s">
        <v>23</v>
      </c>
      <c r="D17" s="79">
        <v>24</v>
      </c>
      <c r="E17" s="56">
        <v>25</v>
      </c>
      <c r="F17" s="56">
        <f t="shared" si="0"/>
        <v>600</v>
      </c>
      <c r="G17" s="56">
        <f>F17*0</f>
        <v>0</v>
      </c>
      <c r="H17" s="85">
        <f>E17*1</f>
        <v>25</v>
      </c>
      <c r="I17" s="130">
        <f t="shared" si="1"/>
        <v>600</v>
      </c>
      <c r="J17" s="83"/>
      <c r="L17" s="21" t="s">
        <v>1572</v>
      </c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5" s="21" customFormat="1" ht="15.75" x14ac:dyDescent="0.25">
      <c r="A18" s="53">
        <f t="shared" ref="A18:A30" si="4">A17+1</f>
        <v>3</v>
      </c>
      <c r="B18" s="78" t="s">
        <v>1894</v>
      </c>
      <c r="C18" s="53" t="s">
        <v>23</v>
      </c>
      <c r="D18" s="79">
        <v>50</v>
      </c>
      <c r="E18" s="56">
        <v>5</v>
      </c>
      <c r="F18" s="56">
        <f t="shared" si="0"/>
        <v>250</v>
      </c>
      <c r="G18" s="56">
        <f t="shared" ref="G18:G31" si="5">F18*0.17</f>
        <v>42.5</v>
      </c>
      <c r="H18" s="85">
        <f t="shared" ref="H18:H31" si="6">E18*1.17</f>
        <v>5.85</v>
      </c>
      <c r="I18" s="130">
        <f t="shared" si="1"/>
        <v>292.5</v>
      </c>
      <c r="J18" s="83"/>
      <c r="L18" s="21" t="s">
        <v>1572</v>
      </c>
      <c r="M18" s="21">
        <f t="shared" si="2"/>
        <v>448.8</v>
      </c>
      <c r="N18" s="66" t="e">
        <f>M18-#REF!</f>
        <v>#REF!</v>
      </c>
      <c r="O18" s="21" t="e">
        <f t="shared" si="3"/>
        <v>#REF!</v>
      </c>
    </row>
    <row r="19" spans="1:15" s="21" customFormat="1" ht="15.75" x14ac:dyDescent="0.25">
      <c r="A19" s="53">
        <f t="shared" si="4"/>
        <v>4</v>
      </c>
      <c r="B19" s="78" t="s">
        <v>1895</v>
      </c>
      <c r="C19" s="53" t="s">
        <v>23</v>
      </c>
      <c r="D19" s="79">
        <v>50</v>
      </c>
      <c r="E19" s="56">
        <v>2</v>
      </c>
      <c r="F19" s="56">
        <f t="shared" si="0"/>
        <v>100</v>
      </c>
      <c r="G19" s="56">
        <f t="shared" si="5"/>
        <v>17</v>
      </c>
      <c r="H19" s="85">
        <f t="shared" si="6"/>
        <v>2.34</v>
      </c>
      <c r="I19" s="130">
        <f t="shared" si="1"/>
        <v>117</v>
      </c>
      <c r="J19" s="83"/>
      <c r="L19" s="21" t="s">
        <v>1572</v>
      </c>
      <c r="M19" s="21">
        <f t="shared" si="2"/>
        <v>448.8</v>
      </c>
      <c r="N19" s="66" t="e">
        <f>M19-#REF!</f>
        <v>#REF!</v>
      </c>
      <c r="O19" s="21" t="e">
        <f t="shared" si="3"/>
        <v>#REF!</v>
      </c>
    </row>
    <row r="20" spans="1:15" s="21" customFormat="1" ht="15.75" x14ac:dyDescent="0.25">
      <c r="A20" s="53">
        <f t="shared" si="4"/>
        <v>5</v>
      </c>
      <c r="B20" s="78" t="s">
        <v>2169</v>
      </c>
      <c r="C20" s="53" t="s">
        <v>23</v>
      </c>
      <c r="D20" s="79">
        <v>1</v>
      </c>
      <c r="E20" s="56">
        <v>220</v>
      </c>
      <c r="F20" s="56">
        <f t="shared" si="0"/>
        <v>220</v>
      </c>
      <c r="G20" s="56">
        <f t="shared" si="5"/>
        <v>37.400000000000006</v>
      </c>
      <c r="H20" s="85">
        <f t="shared" si="6"/>
        <v>257.39999999999998</v>
      </c>
      <c r="I20" s="130">
        <f t="shared" si="1"/>
        <v>257.39999999999998</v>
      </c>
      <c r="J20" s="83"/>
      <c r="L20" s="21" t="s">
        <v>1572</v>
      </c>
      <c r="M20" s="21">
        <f t="shared" si="2"/>
        <v>448.8</v>
      </c>
      <c r="N20" s="66" t="e">
        <f>M20-#REF!</f>
        <v>#REF!</v>
      </c>
      <c r="O20" s="21" t="e">
        <f t="shared" si="3"/>
        <v>#REF!</v>
      </c>
    </row>
    <row r="21" spans="1:15" s="21" customFormat="1" ht="15.75" x14ac:dyDescent="0.25">
      <c r="A21" s="53">
        <f t="shared" si="4"/>
        <v>6</v>
      </c>
      <c r="B21" s="78" t="s">
        <v>2170</v>
      </c>
      <c r="C21" s="53" t="s">
        <v>269</v>
      </c>
      <c r="D21" s="79">
        <v>25</v>
      </c>
      <c r="E21" s="56">
        <v>540</v>
      </c>
      <c r="F21" s="56">
        <f t="shared" si="0"/>
        <v>13500</v>
      </c>
      <c r="G21" s="56">
        <f t="shared" si="5"/>
        <v>2295</v>
      </c>
      <c r="H21" s="85">
        <f t="shared" si="6"/>
        <v>631.79999999999995</v>
      </c>
      <c r="I21" s="130">
        <f t="shared" si="1"/>
        <v>15794.999999999998</v>
      </c>
      <c r="J21" s="83"/>
      <c r="L21" s="21" t="s">
        <v>1572</v>
      </c>
      <c r="M21" s="21">
        <f t="shared" si="2"/>
        <v>448.8</v>
      </c>
      <c r="N21" s="66" t="e">
        <f>M21-#REF!</f>
        <v>#REF!</v>
      </c>
      <c r="O21" s="21" t="e">
        <f t="shared" si="3"/>
        <v>#REF!</v>
      </c>
    </row>
    <row r="22" spans="1:15" s="21" customFormat="1" ht="15.75" x14ac:dyDescent="0.25">
      <c r="A22" s="53">
        <f t="shared" si="4"/>
        <v>7</v>
      </c>
      <c r="B22" s="78" t="s">
        <v>950</v>
      </c>
      <c r="C22" s="53" t="s">
        <v>76</v>
      </c>
      <c r="D22" s="79">
        <v>10</v>
      </c>
      <c r="E22" s="56">
        <v>30</v>
      </c>
      <c r="F22" s="56">
        <f t="shared" si="0"/>
        <v>300</v>
      </c>
      <c r="G22" s="56">
        <f t="shared" si="5"/>
        <v>51.000000000000007</v>
      </c>
      <c r="H22" s="85">
        <f t="shared" si="6"/>
        <v>35.099999999999994</v>
      </c>
      <c r="I22" s="130">
        <f t="shared" si="1"/>
        <v>350.99999999999994</v>
      </c>
      <c r="J22" s="83"/>
      <c r="L22" s="21" t="s">
        <v>1572</v>
      </c>
      <c r="M22" s="21">
        <f t="shared" si="2"/>
        <v>448.8</v>
      </c>
      <c r="N22" s="66" t="e">
        <f>M22-#REF!</f>
        <v>#REF!</v>
      </c>
      <c r="O22" s="21" t="e">
        <f t="shared" si="3"/>
        <v>#REF!</v>
      </c>
    </row>
    <row r="23" spans="1:15" s="21" customFormat="1" ht="15.75" x14ac:dyDescent="0.25">
      <c r="A23" s="53">
        <f t="shared" si="4"/>
        <v>8</v>
      </c>
      <c r="B23" s="78" t="s">
        <v>1890</v>
      </c>
      <c r="C23" s="53" t="s">
        <v>23</v>
      </c>
      <c r="D23" s="79">
        <v>24</v>
      </c>
      <c r="E23" s="56">
        <v>125</v>
      </c>
      <c r="F23" s="56">
        <f t="shared" si="0"/>
        <v>3000</v>
      </c>
      <c r="G23" s="56">
        <f t="shared" si="5"/>
        <v>510.00000000000006</v>
      </c>
      <c r="H23" s="85">
        <f t="shared" si="6"/>
        <v>146.25</v>
      </c>
      <c r="I23" s="130">
        <f t="shared" si="1"/>
        <v>3510</v>
      </c>
      <c r="J23" s="83"/>
      <c r="L23" s="21" t="s">
        <v>1572</v>
      </c>
      <c r="M23" s="21">
        <f t="shared" si="2"/>
        <v>448.8</v>
      </c>
      <c r="N23" s="66" t="e">
        <f>M23-#REF!</f>
        <v>#REF!</v>
      </c>
      <c r="O23" s="21" t="e">
        <f t="shared" si="3"/>
        <v>#REF!</v>
      </c>
    </row>
    <row r="24" spans="1:15" s="21" customFormat="1" ht="15.75" x14ac:dyDescent="0.25">
      <c r="A24" s="53">
        <f t="shared" si="4"/>
        <v>9</v>
      </c>
      <c r="B24" s="78" t="s">
        <v>2171</v>
      </c>
      <c r="C24" s="53" t="s">
        <v>76</v>
      </c>
      <c r="D24" s="79">
        <v>2</v>
      </c>
      <c r="E24" s="56">
        <v>350</v>
      </c>
      <c r="F24" s="56">
        <f t="shared" si="0"/>
        <v>700</v>
      </c>
      <c r="G24" s="56">
        <f t="shared" si="5"/>
        <v>119.00000000000001</v>
      </c>
      <c r="H24" s="85">
        <f t="shared" si="6"/>
        <v>409.5</v>
      </c>
      <c r="I24" s="130">
        <f t="shared" si="1"/>
        <v>819</v>
      </c>
      <c r="J24" s="83"/>
      <c r="L24" s="21" t="s">
        <v>1572</v>
      </c>
      <c r="M24" s="21">
        <f t="shared" si="2"/>
        <v>448.8</v>
      </c>
      <c r="N24" s="66" t="e">
        <f>M24-#REF!</f>
        <v>#REF!</v>
      </c>
      <c r="O24" s="21" t="e">
        <f t="shared" si="3"/>
        <v>#REF!</v>
      </c>
    </row>
    <row r="25" spans="1:15" s="21" customFormat="1" ht="15.75" x14ac:dyDescent="0.25">
      <c r="A25" s="53">
        <f t="shared" si="4"/>
        <v>10</v>
      </c>
      <c r="B25" s="78" t="s">
        <v>1889</v>
      </c>
      <c r="C25" s="53" t="s">
        <v>23</v>
      </c>
      <c r="D25" s="79">
        <v>60</v>
      </c>
      <c r="E25" s="56">
        <v>18</v>
      </c>
      <c r="F25" s="56">
        <f t="shared" si="0"/>
        <v>1080</v>
      </c>
      <c r="G25" s="56">
        <f t="shared" si="5"/>
        <v>183.60000000000002</v>
      </c>
      <c r="H25" s="85">
        <f t="shared" si="6"/>
        <v>21.06</v>
      </c>
      <c r="I25" s="130">
        <f t="shared" si="1"/>
        <v>1263.5999999999999</v>
      </c>
      <c r="J25" s="83"/>
      <c r="L25" s="21" t="s">
        <v>1572</v>
      </c>
      <c r="M25" s="21">
        <f t="shared" si="2"/>
        <v>448.8</v>
      </c>
      <c r="N25" s="66" t="e">
        <f>M25-#REF!</f>
        <v>#REF!</v>
      </c>
      <c r="O25" s="21" t="e">
        <f t="shared" si="3"/>
        <v>#REF!</v>
      </c>
    </row>
    <row r="26" spans="1:15" s="21" customFormat="1" ht="15.75" x14ac:dyDescent="0.25">
      <c r="A26" s="53">
        <f t="shared" si="4"/>
        <v>11</v>
      </c>
      <c r="B26" s="78" t="s">
        <v>377</v>
      </c>
      <c r="C26" s="53" t="s">
        <v>23</v>
      </c>
      <c r="D26" s="79">
        <v>60</v>
      </c>
      <c r="E26" s="56">
        <v>88</v>
      </c>
      <c r="F26" s="56">
        <f t="shared" si="0"/>
        <v>5280</v>
      </c>
      <c r="G26" s="56">
        <f t="shared" si="5"/>
        <v>897.6</v>
      </c>
      <c r="H26" s="85">
        <f t="shared" si="6"/>
        <v>102.96</v>
      </c>
      <c r="I26" s="130">
        <f t="shared" si="1"/>
        <v>6177.5999999999995</v>
      </c>
      <c r="J26" s="83"/>
      <c r="L26" s="21" t="s">
        <v>1572</v>
      </c>
      <c r="M26" s="21">
        <f t="shared" si="2"/>
        <v>448.8</v>
      </c>
      <c r="N26" s="66" t="e">
        <f>M26-#REF!</f>
        <v>#REF!</v>
      </c>
      <c r="O26" s="21" t="e">
        <f t="shared" si="3"/>
        <v>#REF!</v>
      </c>
    </row>
    <row r="27" spans="1:15" s="21" customFormat="1" ht="15.75" x14ac:dyDescent="0.25">
      <c r="A27" s="53">
        <f t="shared" si="4"/>
        <v>12</v>
      </c>
      <c r="B27" s="78" t="s">
        <v>1888</v>
      </c>
      <c r="C27" s="53" t="s">
        <v>23</v>
      </c>
      <c r="D27" s="79">
        <v>20</v>
      </c>
      <c r="E27" s="56">
        <v>90</v>
      </c>
      <c r="F27" s="56">
        <f t="shared" si="0"/>
        <v>1800</v>
      </c>
      <c r="G27" s="56">
        <f t="shared" si="5"/>
        <v>306</v>
      </c>
      <c r="H27" s="85">
        <f t="shared" si="6"/>
        <v>105.3</v>
      </c>
      <c r="I27" s="130">
        <f t="shared" si="1"/>
        <v>2106</v>
      </c>
      <c r="J27" s="83"/>
      <c r="L27" s="21" t="s">
        <v>1572</v>
      </c>
      <c r="M27" s="21">
        <f t="shared" si="2"/>
        <v>448.8</v>
      </c>
      <c r="N27" s="66" t="e">
        <f>M27-#REF!</f>
        <v>#REF!</v>
      </c>
      <c r="O27" s="21" t="e">
        <f t="shared" si="3"/>
        <v>#REF!</v>
      </c>
    </row>
    <row r="28" spans="1:15" s="21" customFormat="1" ht="15.75" x14ac:dyDescent="0.25">
      <c r="A28" s="53">
        <f t="shared" si="4"/>
        <v>13</v>
      </c>
      <c r="B28" s="78" t="s">
        <v>2172</v>
      </c>
      <c r="C28" s="53" t="s">
        <v>23</v>
      </c>
      <c r="D28" s="79">
        <v>300</v>
      </c>
      <c r="E28" s="56">
        <v>7.5</v>
      </c>
      <c r="F28" s="56">
        <f t="shared" si="0"/>
        <v>2250</v>
      </c>
      <c r="G28" s="56">
        <f>F28*0</f>
        <v>0</v>
      </c>
      <c r="H28" s="85">
        <f>E28*1</f>
        <v>7.5</v>
      </c>
      <c r="I28" s="130">
        <f t="shared" si="1"/>
        <v>2250</v>
      </c>
      <c r="J28" s="83"/>
      <c r="L28" s="21" t="s">
        <v>1572</v>
      </c>
      <c r="M28" s="21">
        <f t="shared" si="2"/>
        <v>448.8</v>
      </c>
      <c r="N28" s="66" t="e">
        <f>M28-#REF!</f>
        <v>#REF!</v>
      </c>
      <c r="O28" s="21" t="e">
        <f t="shared" si="3"/>
        <v>#REF!</v>
      </c>
    </row>
    <row r="29" spans="1:15" s="21" customFormat="1" ht="15.75" x14ac:dyDescent="0.25">
      <c r="A29" s="53">
        <f t="shared" si="4"/>
        <v>14</v>
      </c>
      <c r="B29" s="78" t="s">
        <v>2173</v>
      </c>
      <c r="C29" s="53" t="s">
        <v>76</v>
      </c>
      <c r="D29" s="79">
        <v>6</v>
      </c>
      <c r="E29" s="56">
        <v>28</v>
      </c>
      <c r="F29" s="56">
        <f t="shared" si="0"/>
        <v>168</v>
      </c>
      <c r="G29" s="56">
        <f t="shared" si="5"/>
        <v>28.560000000000002</v>
      </c>
      <c r="H29" s="85">
        <f t="shared" si="6"/>
        <v>32.76</v>
      </c>
      <c r="I29" s="130">
        <f t="shared" si="1"/>
        <v>196.56</v>
      </c>
      <c r="J29" s="83"/>
      <c r="L29" s="21" t="s">
        <v>1572</v>
      </c>
      <c r="M29" s="21">
        <f t="shared" si="2"/>
        <v>448.8</v>
      </c>
      <c r="N29" s="66" t="e">
        <f>M29-#REF!</f>
        <v>#REF!</v>
      </c>
      <c r="O29" s="21" t="e">
        <f t="shared" si="3"/>
        <v>#REF!</v>
      </c>
    </row>
    <row r="30" spans="1:15" s="21" customFormat="1" ht="15.75" x14ac:dyDescent="0.25">
      <c r="A30" s="53">
        <f t="shared" si="4"/>
        <v>15</v>
      </c>
      <c r="B30" s="78" t="s">
        <v>2174</v>
      </c>
      <c r="C30" s="53" t="s">
        <v>23</v>
      </c>
      <c r="D30" s="79">
        <v>6</v>
      </c>
      <c r="E30" s="56">
        <v>32</v>
      </c>
      <c r="F30" s="56">
        <f t="shared" si="0"/>
        <v>192</v>
      </c>
      <c r="G30" s="56">
        <f>F30*0</f>
        <v>0</v>
      </c>
      <c r="H30" s="85">
        <f>E30*1</f>
        <v>32</v>
      </c>
      <c r="I30" s="130">
        <f t="shared" si="1"/>
        <v>192</v>
      </c>
      <c r="J30" s="83"/>
      <c r="L30" s="21" t="s">
        <v>1572</v>
      </c>
      <c r="M30" s="21">
        <f t="shared" si="2"/>
        <v>448.8</v>
      </c>
      <c r="N30" s="66" t="e">
        <f>M30-#REF!</f>
        <v>#REF!</v>
      </c>
      <c r="O30" s="21" t="e">
        <f t="shared" si="3"/>
        <v>#REF!</v>
      </c>
    </row>
    <row r="31" spans="1:15" s="21" customFormat="1" x14ac:dyDescent="0.25">
      <c r="A31" s="53"/>
      <c r="B31" s="47"/>
      <c r="C31" s="82"/>
      <c r="D31" s="57"/>
      <c r="E31" s="56"/>
      <c r="F31" s="56">
        <f t="shared" si="0"/>
        <v>0</v>
      </c>
      <c r="G31" s="56">
        <f t="shared" si="5"/>
        <v>0</v>
      </c>
      <c r="H31" s="85">
        <f t="shared" si="6"/>
        <v>0</v>
      </c>
      <c r="I31" s="130">
        <f t="shared" si="1"/>
        <v>0</v>
      </c>
      <c r="J31" s="58"/>
      <c r="M31" s="21">
        <f t="shared" si="2"/>
        <v>448.8</v>
      </c>
      <c r="N31" s="66" t="e">
        <f>M31-#REF!</f>
        <v>#REF!</v>
      </c>
      <c r="O31" s="21" t="e">
        <f t="shared" si="3"/>
        <v>#REF!</v>
      </c>
    </row>
    <row r="32" spans="1:15" ht="15.75" thickBot="1" x14ac:dyDescent="0.3">
      <c r="A32" s="33"/>
      <c r="B32" s="34" t="s">
        <v>24</v>
      </c>
      <c r="C32" s="35"/>
      <c r="D32" s="62">
        <f>SUM(D16:D31)</f>
        <v>650</v>
      </c>
      <c r="E32" s="35"/>
      <c r="F32" s="62">
        <f>SUM(F16:F31)</f>
        <v>29824</v>
      </c>
      <c r="G32" s="62">
        <f>SUM(G16:G31)</f>
        <v>4487.6600000000008</v>
      </c>
      <c r="H32" s="35"/>
      <c r="I32" s="148">
        <f>SUM(I16:I31)</f>
        <v>34311.659999999989</v>
      </c>
      <c r="J32" s="37"/>
      <c r="M32" t="e">
        <f>#REF!/117*100</f>
        <v>#REF!</v>
      </c>
      <c r="O32" t="e">
        <f>M32*1.1</f>
        <v>#REF!</v>
      </c>
    </row>
    <row r="33" spans="1:18" ht="15.75" thickTop="1" x14ac:dyDescent="0.25">
      <c r="A33" s="33"/>
      <c r="B33" s="34" t="s">
        <v>2175</v>
      </c>
      <c r="C33" s="35"/>
      <c r="D33" s="35"/>
      <c r="E33" s="35"/>
      <c r="F33" s="35"/>
      <c r="G33" s="35"/>
      <c r="H33" s="35"/>
      <c r="I33" s="35"/>
      <c r="J33" s="37"/>
    </row>
    <row r="34" spans="1:18" x14ac:dyDescent="0.25">
      <c r="A34" s="33"/>
      <c r="B34" s="38" t="s">
        <v>25</v>
      </c>
      <c r="C34" s="35"/>
      <c r="D34" s="35"/>
      <c r="E34" s="35"/>
      <c r="F34" s="35"/>
      <c r="G34" s="35"/>
      <c r="H34" s="35"/>
      <c r="I34" s="35"/>
      <c r="J34" s="37"/>
      <c r="M34" s="64" t="e">
        <f>M32*#REF!</f>
        <v>#REF!</v>
      </c>
      <c r="O34" s="65" t="e">
        <f>#REF!</f>
        <v>#REF!</v>
      </c>
      <c r="P34" s="64" t="e">
        <f>O34-M34</f>
        <v>#REF!</v>
      </c>
      <c r="Q34" s="64" t="e">
        <f>#REF!*0.045</f>
        <v>#REF!</v>
      </c>
      <c r="R34" s="64" t="e">
        <f>P34-Q34</f>
        <v>#REF!</v>
      </c>
    </row>
    <row r="35" spans="1:18" ht="30" customHeight="1" x14ac:dyDescent="0.25">
      <c r="B35" s="183" t="s">
        <v>26</v>
      </c>
      <c r="C35" s="183"/>
      <c r="D35" s="183"/>
      <c r="E35" s="183"/>
      <c r="F35" s="183"/>
      <c r="G35" s="183"/>
      <c r="H35" s="183"/>
      <c r="I35" s="183"/>
      <c r="J35" s="183"/>
      <c r="P35" s="64"/>
      <c r="R35" s="65" t="e">
        <f>#REF!-#REF!</f>
        <v>#REF!</v>
      </c>
    </row>
    <row r="36" spans="1:18" x14ac:dyDescent="0.25">
      <c r="B36" t="s">
        <v>634</v>
      </c>
    </row>
    <row r="39" spans="1:18" x14ac:dyDescent="0.25">
      <c r="B39" t="s">
        <v>28</v>
      </c>
      <c r="H39" t="s">
        <v>28</v>
      </c>
    </row>
    <row r="40" spans="1:18" x14ac:dyDescent="0.25">
      <c r="B40" t="s">
        <v>29</v>
      </c>
      <c r="H40" t="s">
        <v>30</v>
      </c>
    </row>
  </sheetData>
  <autoFilter ref="A15:J36" xr:uid="{00000000-0009-0000-0000-000000000000}"/>
  <mergeCells count="5">
    <mergeCell ref="A6:J6"/>
    <mergeCell ref="I7:J7"/>
    <mergeCell ref="I8:J8"/>
    <mergeCell ref="I9:J9"/>
    <mergeCell ref="B35:J35"/>
  </mergeCells>
  <hyperlinks>
    <hyperlink ref="H5" r:id="rId1" xr:uid="{CDA54708-6113-4CB8-9B93-27819CE95D98}"/>
  </hyperlinks>
  <pageMargins left="0.2" right="0.1" top="0.25" bottom="0.25" header="0.3" footer="0.3"/>
  <pageSetup paperSize="9" orientation="portrait" r:id="rId2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75473-0B10-4FD2-8F59-8F24E7A3D2F9}">
  <dimension ref="A1:R41"/>
  <sheetViews>
    <sheetView topLeftCell="A14" workbookViewId="0">
      <selection activeCell="B32" sqref="B3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2129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2153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2154</v>
      </c>
      <c r="J9" s="188"/>
    </row>
    <row r="10" spans="1:15" x14ac:dyDescent="0.25">
      <c r="B10" t="s">
        <v>9</v>
      </c>
      <c r="C10" s="10" t="s">
        <v>754</v>
      </c>
      <c r="D10" s="10"/>
      <c r="E10" s="10"/>
      <c r="F10" s="10"/>
    </row>
    <row r="11" spans="1:15" x14ac:dyDescent="0.25">
      <c r="B11" t="s">
        <v>11</v>
      </c>
      <c r="C11" s="10" t="s">
        <v>755</v>
      </c>
      <c r="D11" s="11"/>
      <c r="E11" s="11"/>
      <c r="F11" s="11"/>
    </row>
    <row r="12" spans="1:15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2155</v>
      </c>
      <c r="C16" s="53" t="s">
        <v>23</v>
      </c>
      <c r="D16" s="79">
        <v>20</v>
      </c>
      <c r="E16" s="56">
        <v>144</v>
      </c>
      <c r="F16" s="56">
        <f t="shared" ref="F16:F31" si="0">D16*E16</f>
        <v>2880</v>
      </c>
      <c r="G16" s="56">
        <f t="shared" ref="G16:G23" si="1">F16*0.17</f>
        <v>489.6</v>
      </c>
      <c r="H16" s="129">
        <f t="shared" ref="H16:H23" si="2">E16*1.17</f>
        <v>168.48</v>
      </c>
      <c r="I16" s="56">
        <f t="shared" ref="I16:I31" si="3">H16*D16</f>
        <v>3369.6</v>
      </c>
      <c r="J16" s="83"/>
      <c r="L16" s="21" t="s">
        <v>1572</v>
      </c>
      <c r="M16" s="21">
        <f t="shared" ref="M16:M32" si="4">440*1.02</f>
        <v>448.8</v>
      </c>
      <c r="N16" s="66" t="e">
        <f>M16-#REF!</f>
        <v>#REF!</v>
      </c>
      <c r="O16" s="21" t="e">
        <f t="shared" ref="O16:O23" si="5">N16*D16</f>
        <v>#REF!</v>
      </c>
    </row>
    <row r="17" spans="1:15" s="21" customFormat="1" ht="15.75" x14ac:dyDescent="0.25">
      <c r="A17" s="53">
        <f>A16+1</f>
        <v>2</v>
      </c>
      <c r="B17" s="78" t="s">
        <v>891</v>
      </c>
      <c r="C17" s="53" t="s">
        <v>23</v>
      </c>
      <c r="D17" s="79">
        <v>6</v>
      </c>
      <c r="E17" s="56">
        <v>220</v>
      </c>
      <c r="F17" s="56">
        <f t="shared" si="0"/>
        <v>1320</v>
      </c>
      <c r="G17" s="56">
        <f t="shared" si="1"/>
        <v>224.4</v>
      </c>
      <c r="H17" s="129">
        <f t="shared" si="2"/>
        <v>257.39999999999998</v>
      </c>
      <c r="I17" s="56">
        <f t="shared" si="3"/>
        <v>1544.3999999999999</v>
      </c>
      <c r="J17" s="83"/>
      <c r="L17" s="21" t="s">
        <v>1572</v>
      </c>
      <c r="M17" s="21">
        <f t="shared" si="4"/>
        <v>448.8</v>
      </c>
      <c r="N17" s="66" t="e">
        <f>M17-#REF!</f>
        <v>#REF!</v>
      </c>
      <c r="O17" s="21" t="e">
        <f t="shared" si="5"/>
        <v>#REF!</v>
      </c>
    </row>
    <row r="18" spans="1:15" s="21" customFormat="1" ht="15.75" x14ac:dyDescent="0.25">
      <c r="A18" s="53">
        <f t="shared" ref="A18:A31" si="6">A17+1</f>
        <v>3</v>
      </c>
      <c r="B18" s="78" t="s">
        <v>2156</v>
      </c>
      <c r="C18" s="53" t="s">
        <v>23</v>
      </c>
      <c r="D18" s="79">
        <v>40</v>
      </c>
      <c r="E18" s="56">
        <v>120</v>
      </c>
      <c r="F18" s="56">
        <f t="shared" si="0"/>
        <v>4800</v>
      </c>
      <c r="G18" s="56">
        <f t="shared" si="1"/>
        <v>816.00000000000011</v>
      </c>
      <c r="H18" s="129">
        <f t="shared" si="2"/>
        <v>140.39999999999998</v>
      </c>
      <c r="I18" s="56">
        <f t="shared" si="3"/>
        <v>5615.9999999999991</v>
      </c>
      <c r="J18" s="83"/>
      <c r="L18" s="21" t="s">
        <v>1572</v>
      </c>
      <c r="M18" s="21">
        <f t="shared" si="4"/>
        <v>448.8</v>
      </c>
      <c r="N18" s="66" t="e">
        <f>M18-#REF!</f>
        <v>#REF!</v>
      </c>
      <c r="O18" s="21" t="e">
        <f t="shared" si="5"/>
        <v>#REF!</v>
      </c>
    </row>
    <row r="19" spans="1:15" s="21" customFormat="1" ht="15.75" x14ac:dyDescent="0.25">
      <c r="A19" s="53">
        <f t="shared" si="6"/>
        <v>4</v>
      </c>
      <c r="B19" s="78" t="s">
        <v>1769</v>
      </c>
      <c r="C19" s="53" t="s">
        <v>23</v>
      </c>
      <c r="D19" s="79">
        <v>15</v>
      </c>
      <c r="E19" s="56">
        <v>120</v>
      </c>
      <c r="F19" s="56">
        <f t="shared" si="0"/>
        <v>1800</v>
      </c>
      <c r="G19" s="56">
        <f t="shared" si="1"/>
        <v>306</v>
      </c>
      <c r="H19" s="129">
        <f t="shared" si="2"/>
        <v>140.39999999999998</v>
      </c>
      <c r="I19" s="56">
        <f t="shared" si="3"/>
        <v>2105.9999999999995</v>
      </c>
      <c r="J19" s="83"/>
      <c r="L19" s="21" t="s">
        <v>1572</v>
      </c>
      <c r="M19" s="21">
        <f t="shared" si="4"/>
        <v>448.8</v>
      </c>
      <c r="N19" s="66" t="e">
        <f>M19-#REF!</f>
        <v>#REF!</v>
      </c>
      <c r="O19" s="21" t="e">
        <f t="shared" si="5"/>
        <v>#REF!</v>
      </c>
    </row>
    <row r="20" spans="1:15" s="21" customFormat="1" ht="15.75" x14ac:dyDescent="0.25">
      <c r="A20" s="53">
        <f t="shared" si="6"/>
        <v>5</v>
      </c>
      <c r="B20" s="78" t="s">
        <v>1015</v>
      </c>
      <c r="C20" s="53" t="s">
        <v>23</v>
      </c>
      <c r="D20" s="79">
        <v>5</v>
      </c>
      <c r="E20" s="56">
        <v>220</v>
      </c>
      <c r="F20" s="56">
        <f t="shared" si="0"/>
        <v>1100</v>
      </c>
      <c r="G20" s="56">
        <f t="shared" si="1"/>
        <v>187</v>
      </c>
      <c r="H20" s="129">
        <f t="shared" si="2"/>
        <v>257.39999999999998</v>
      </c>
      <c r="I20" s="56">
        <f t="shared" si="3"/>
        <v>1287</v>
      </c>
      <c r="J20" s="83"/>
      <c r="L20" s="21" t="s">
        <v>1572</v>
      </c>
      <c r="M20" s="21">
        <f t="shared" si="4"/>
        <v>448.8</v>
      </c>
      <c r="N20" s="66" t="e">
        <f>M20-#REF!</f>
        <v>#REF!</v>
      </c>
      <c r="O20" s="21" t="e">
        <f t="shared" si="5"/>
        <v>#REF!</v>
      </c>
    </row>
    <row r="21" spans="1:15" s="21" customFormat="1" ht="15.75" x14ac:dyDescent="0.25">
      <c r="A21" s="53">
        <f t="shared" si="6"/>
        <v>6</v>
      </c>
      <c r="B21" s="78" t="s">
        <v>2009</v>
      </c>
      <c r="C21" s="53" t="s">
        <v>895</v>
      </c>
      <c r="D21" s="79">
        <v>20</v>
      </c>
      <c r="E21" s="56">
        <v>28</v>
      </c>
      <c r="F21" s="56">
        <f t="shared" si="0"/>
        <v>560</v>
      </c>
      <c r="G21" s="56">
        <f t="shared" si="1"/>
        <v>95.2</v>
      </c>
      <c r="H21" s="129">
        <f t="shared" si="2"/>
        <v>32.76</v>
      </c>
      <c r="I21" s="56">
        <f t="shared" si="3"/>
        <v>655.19999999999993</v>
      </c>
      <c r="J21" s="83"/>
      <c r="L21" s="21" t="s">
        <v>1572</v>
      </c>
      <c r="M21" s="21">
        <f t="shared" si="4"/>
        <v>448.8</v>
      </c>
      <c r="N21" s="66" t="e">
        <f>M21-#REF!</f>
        <v>#REF!</v>
      </c>
      <c r="O21" s="21" t="e">
        <f t="shared" si="5"/>
        <v>#REF!</v>
      </c>
    </row>
    <row r="22" spans="1:15" s="21" customFormat="1" ht="15.75" x14ac:dyDescent="0.25">
      <c r="A22" s="53">
        <f t="shared" si="6"/>
        <v>7</v>
      </c>
      <c r="B22" s="78" t="s">
        <v>2010</v>
      </c>
      <c r="C22" s="53" t="s">
        <v>23</v>
      </c>
      <c r="D22" s="79">
        <v>12</v>
      </c>
      <c r="E22" s="56">
        <v>90</v>
      </c>
      <c r="F22" s="56">
        <f t="shared" si="0"/>
        <v>1080</v>
      </c>
      <c r="G22" s="56">
        <f t="shared" si="1"/>
        <v>183.60000000000002</v>
      </c>
      <c r="H22" s="129">
        <f t="shared" si="2"/>
        <v>105.3</v>
      </c>
      <c r="I22" s="56">
        <f t="shared" si="3"/>
        <v>1263.5999999999999</v>
      </c>
      <c r="J22" s="83"/>
      <c r="L22" s="21" t="s">
        <v>1572</v>
      </c>
      <c r="M22" s="21">
        <f t="shared" si="4"/>
        <v>448.8</v>
      </c>
      <c r="N22" s="66" t="e">
        <f>M22-#REF!</f>
        <v>#REF!</v>
      </c>
      <c r="O22" s="21" t="e">
        <f t="shared" si="5"/>
        <v>#REF!</v>
      </c>
    </row>
    <row r="23" spans="1:15" s="21" customFormat="1" ht="15.75" x14ac:dyDescent="0.25">
      <c r="A23" s="53">
        <f t="shared" si="6"/>
        <v>8</v>
      </c>
      <c r="B23" s="78" t="s">
        <v>2157</v>
      </c>
      <c r="C23" s="53" t="s">
        <v>193</v>
      </c>
      <c r="D23" s="79">
        <v>150</v>
      </c>
      <c r="E23" s="56">
        <v>18</v>
      </c>
      <c r="F23" s="56">
        <f t="shared" si="0"/>
        <v>2700</v>
      </c>
      <c r="G23" s="56">
        <f t="shared" si="1"/>
        <v>459.00000000000006</v>
      </c>
      <c r="H23" s="129">
        <f t="shared" si="2"/>
        <v>21.06</v>
      </c>
      <c r="I23" s="56">
        <f t="shared" si="3"/>
        <v>3159</v>
      </c>
      <c r="J23" s="83"/>
      <c r="L23" s="21" t="s">
        <v>1572</v>
      </c>
      <c r="M23" s="21">
        <f t="shared" si="4"/>
        <v>448.8</v>
      </c>
      <c r="N23" s="66" t="e">
        <f>M23-#REF!</f>
        <v>#REF!</v>
      </c>
      <c r="O23" s="21" t="e">
        <f t="shared" si="5"/>
        <v>#REF!</v>
      </c>
    </row>
    <row r="24" spans="1:15" s="21" customFormat="1" ht="15.75" x14ac:dyDescent="0.25">
      <c r="A24" s="53">
        <f t="shared" si="6"/>
        <v>9</v>
      </c>
      <c r="B24" s="78" t="s">
        <v>2158</v>
      </c>
      <c r="C24" s="53" t="s">
        <v>192</v>
      </c>
      <c r="D24" s="79">
        <v>5</v>
      </c>
      <c r="E24" s="56">
        <v>190</v>
      </c>
      <c r="F24" s="56">
        <f t="shared" si="0"/>
        <v>950</v>
      </c>
      <c r="G24" s="56">
        <f t="shared" ref="G24:G32" si="7">F24*0.17</f>
        <v>161.5</v>
      </c>
      <c r="H24" s="129">
        <f t="shared" ref="H24:H32" si="8">E24*1.17</f>
        <v>222.29999999999998</v>
      </c>
      <c r="I24" s="56">
        <f t="shared" si="3"/>
        <v>1111.5</v>
      </c>
      <c r="J24" s="83"/>
      <c r="L24" s="21" t="s">
        <v>1572</v>
      </c>
      <c r="M24" s="21">
        <f t="shared" si="4"/>
        <v>448.8</v>
      </c>
      <c r="N24" s="66" t="e">
        <f>M24-#REF!</f>
        <v>#REF!</v>
      </c>
      <c r="O24" s="21" t="e">
        <f t="shared" ref="O24:O32" si="9">N24*D24</f>
        <v>#REF!</v>
      </c>
    </row>
    <row r="25" spans="1:15" s="21" customFormat="1" ht="15.75" x14ac:dyDescent="0.25">
      <c r="A25" s="53">
        <f t="shared" si="6"/>
        <v>10</v>
      </c>
      <c r="B25" s="78" t="s">
        <v>2159</v>
      </c>
      <c r="C25" s="53" t="s">
        <v>23</v>
      </c>
      <c r="D25" s="79">
        <v>8</v>
      </c>
      <c r="E25" s="56">
        <v>125</v>
      </c>
      <c r="F25" s="56">
        <f t="shared" si="0"/>
        <v>1000</v>
      </c>
      <c r="G25" s="56">
        <f t="shared" si="7"/>
        <v>170</v>
      </c>
      <c r="H25" s="129">
        <f t="shared" si="8"/>
        <v>146.25</v>
      </c>
      <c r="I25" s="56">
        <f t="shared" si="3"/>
        <v>1170</v>
      </c>
      <c r="J25" s="83"/>
      <c r="L25" s="21" t="s">
        <v>1572</v>
      </c>
      <c r="M25" s="21">
        <f t="shared" si="4"/>
        <v>448.8</v>
      </c>
      <c r="N25" s="66" t="e">
        <f>M25-#REF!</f>
        <v>#REF!</v>
      </c>
      <c r="O25" s="21" t="e">
        <f t="shared" si="9"/>
        <v>#REF!</v>
      </c>
    </row>
    <row r="26" spans="1:15" s="21" customFormat="1" ht="15.75" x14ac:dyDescent="0.25">
      <c r="A26" s="53">
        <f t="shared" si="6"/>
        <v>11</v>
      </c>
      <c r="B26" s="78" t="s">
        <v>2160</v>
      </c>
      <c r="C26" s="53" t="s">
        <v>895</v>
      </c>
      <c r="D26" s="79">
        <v>30</v>
      </c>
      <c r="E26" s="56">
        <v>58</v>
      </c>
      <c r="F26" s="56">
        <f t="shared" si="0"/>
        <v>1740</v>
      </c>
      <c r="G26" s="56">
        <f t="shared" ref="G26:G27" si="10">F26*0.17</f>
        <v>295.8</v>
      </c>
      <c r="H26" s="129">
        <f t="shared" ref="H26:H27" si="11">E26*1.17</f>
        <v>67.86</v>
      </c>
      <c r="I26" s="56">
        <f t="shared" si="3"/>
        <v>2035.8</v>
      </c>
      <c r="J26" s="83"/>
      <c r="L26" s="21" t="s">
        <v>1572</v>
      </c>
      <c r="M26" s="21">
        <f t="shared" si="4"/>
        <v>448.8</v>
      </c>
      <c r="N26" s="66" t="e">
        <f>M26-#REF!</f>
        <v>#REF!</v>
      </c>
      <c r="O26" s="21" t="e">
        <f t="shared" ref="O26:O27" si="12">N26*D26</f>
        <v>#REF!</v>
      </c>
    </row>
    <row r="27" spans="1:15" s="21" customFormat="1" ht="15.75" x14ac:dyDescent="0.25">
      <c r="A27" s="53">
        <f t="shared" si="6"/>
        <v>12</v>
      </c>
      <c r="B27" s="78" t="s">
        <v>2161</v>
      </c>
      <c r="C27" s="53" t="s">
        <v>23</v>
      </c>
      <c r="D27" s="79">
        <v>20</v>
      </c>
      <c r="E27" s="56">
        <v>150</v>
      </c>
      <c r="F27" s="56">
        <f t="shared" si="0"/>
        <v>3000</v>
      </c>
      <c r="G27" s="56">
        <f t="shared" si="10"/>
        <v>510.00000000000006</v>
      </c>
      <c r="H27" s="129">
        <f t="shared" si="11"/>
        <v>175.5</v>
      </c>
      <c r="I27" s="56">
        <f t="shared" si="3"/>
        <v>3510</v>
      </c>
      <c r="J27" s="83"/>
      <c r="L27" s="21" t="s">
        <v>1572</v>
      </c>
      <c r="M27" s="21">
        <f t="shared" si="4"/>
        <v>448.8</v>
      </c>
      <c r="N27" s="66" t="e">
        <f>M27-#REF!</f>
        <v>#REF!</v>
      </c>
      <c r="O27" s="21" t="e">
        <f t="shared" si="12"/>
        <v>#REF!</v>
      </c>
    </row>
    <row r="28" spans="1:15" s="21" customFormat="1" ht="15.75" x14ac:dyDescent="0.25">
      <c r="A28" s="53">
        <f t="shared" si="6"/>
        <v>13</v>
      </c>
      <c r="B28" s="78" t="s">
        <v>2162</v>
      </c>
      <c r="C28" s="53" t="s">
        <v>23</v>
      </c>
      <c r="D28" s="79">
        <v>12</v>
      </c>
      <c r="E28" s="56">
        <v>35</v>
      </c>
      <c r="F28" s="56">
        <f t="shared" si="0"/>
        <v>420</v>
      </c>
      <c r="G28" s="56">
        <f t="shared" ref="G28:G29" si="13">F28*0.17</f>
        <v>71.400000000000006</v>
      </c>
      <c r="H28" s="129">
        <f t="shared" ref="H28:H29" si="14">E28*1.17</f>
        <v>40.949999999999996</v>
      </c>
      <c r="I28" s="56">
        <f t="shared" si="3"/>
        <v>491.4</v>
      </c>
      <c r="J28" s="83"/>
      <c r="L28" s="21" t="s">
        <v>1572</v>
      </c>
      <c r="M28" s="21">
        <f t="shared" si="4"/>
        <v>448.8</v>
      </c>
      <c r="N28" s="66" t="e">
        <f>M28-#REF!</f>
        <v>#REF!</v>
      </c>
      <c r="O28" s="21" t="e">
        <f t="shared" ref="O28:O29" si="15">N28*D28</f>
        <v>#REF!</v>
      </c>
    </row>
    <row r="29" spans="1:15" s="21" customFormat="1" ht="15.75" x14ac:dyDescent="0.25">
      <c r="A29" s="53">
        <f t="shared" si="6"/>
        <v>14</v>
      </c>
      <c r="B29" s="78" t="s">
        <v>1561</v>
      </c>
      <c r="C29" s="53" t="s">
        <v>192</v>
      </c>
      <c r="D29" s="79">
        <v>2</v>
      </c>
      <c r="E29" s="56">
        <v>180</v>
      </c>
      <c r="F29" s="56">
        <f t="shared" si="0"/>
        <v>360</v>
      </c>
      <c r="G29" s="56">
        <f t="shared" si="13"/>
        <v>61.2</v>
      </c>
      <c r="H29" s="129">
        <f t="shared" si="14"/>
        <v>210.6</v>
      </c>
      <c r="I29" s="56">
        <f t="shared" si="3"/>
        <v>421.2</v>
      </c>
      <c r="J29" s="83"/>
      <c r="L29" s="21" t="s">
        <v>1572</v>
      </c>
      <c r="M29" s="21">
        <f t="shared" si="4"/>
        <v>448.8</v>
      </c>
      <c r="N29" s="66" t="e">
        <f>M29-#REF!</f>
        <v>#REF!</v>
      </c>
      <c r="O29" s="21" t="e">
        <f t="shared" si="15"/>
        <v>#REF!</v>
      </c>
    </row>
    <row r="30" spans="1:15" s="21" customFormat="1" ht="15.75" x14ac:dyDescent="0.25">
      <c r="A30" s="53">
        <f t="shared" si="6"/>
        <v>15</v>
      </c>
      <c r="B30" s="78" t="s">
        <v>2163</v>
      </c>
      <c r="C30" s="53" t="s">
        <v>23</v>
      </c>
      <c r="D30" s="79">
        <v>5</v>
      </c>
      <c r="E30" s="56">
        <v>150</v>
      </c>
      <c r="F30" s="56">
        <f t="shared" si="0"/>
        <v>750</v>
      </c>
      <c r="G30" s="56">
        <f t="shared" si="7"/>
        <v>127.50000000000001</v>
      </c>
      <c r="H30" s="129">
        <f t="shared" si="8"/>
        <v>175.5</v>
      </c>
      <c r="I30" s="56">
        <f t="shared" si="3"/>
        <v>877.5</v>
      </c>
      <c r="J30" s="83"/>
      <c r="L30" s="21" t="s">
        <v>1572</v>
      </c>
      <c r="M30" s="21">
        <f t="shared" si="4"/>
        <v>448.8</v>
      </c>
      <c r="N30" s="66" t="e">
        <f>M30-#REF!</f>
        <v>#REF!</v>
      </c>
      <c r="O30" s="21" t="e">
        <f t="shared" si="9"/>
        <v>#REF!</v>
      </c>
    </row>
    <row r="31" spans="1:15" s="21" customFormat="1" ht="15.75" x14ac:dyDescent="0.25">
      <c r="A31" s="53">
        <f t="shared" si="6"/>
        <v>16</v>
      </c>
      <c r="B31" s="78" t="s">
        <v>2164</v>
      </c>
      <c r="C31" s="53" t="s">
        <v>23</v>
      </c>
      <c r="D31" s="79">
        <v>5</v>
      </c>
      <c r="E31" s="56">
        <v>180</v>
      </c>
      <c r="F31" s="56">
        <f t="shared" si="0"/>
        <v>900</v>
      </c>
      <c r="G31" s="56">
        <f t="shared" ref="G31" si="16">F31*0.17</f>
        <v>153</v>
      </c>
      <c r="H31" s="129">
        <f t="shared" ref="H31" si="17">E31*1.17</f>
        <v>210.6</v>
      </c>
      <c r="I31" s="56">
        <f t="shared" si="3"/>
        <v>1053</v>
      </c>
      <c r="J31" s="83"/>
      <c r="L31" s="21" t="s">
        <v>1572</v>
      </c>
      <c r="M31" s="21">
        <f t="shared" si="4"/>
        <v>448.8</v>
      </c>
      <c r="N31" s="66" t="e">
        <f>M31-#REF!</f>
        <v>#REF!</v>
      </c>
      <c r="O31" s="21" t="e">
        <f t="shared" ref="O31" si="18">N31*D31</f>
        <v>#REF!</v>
      </c>
    </row>
    <row r="32" spans="1:15" s="21" customFormat="1" x14ac:dyDescent="0.25">
      <c r="A32" s="53"/>
      <c r="B32" s="47"/>
      <c r="C32" s="82"/>
      <c r="D32" s="57"/>
      <c r="E32" s="56"/>
      <c r="F32" s="56">
        <f t="shared" ref="F32" si="19">D32*E32</f>
        <v>0</v>
      </c>
      <c r="G32" s="56">
        <f t="shared" si="7"/>
        <v>0</v>
      </c>
      <c r="H32" s="129">
        <f t="shared" si="8"/>
        <v>0</v>
      </c>
      <c r="I32" s="56">
        <f t="shared" ref="I32" si="20">H32*D32</f>
        <v>0</v>
      </c>
      <c r="J32" s="58"/>
      <c r="M32" s="21">
        <f t="shared" si="4"/>
        <v>448.8</v>
      </c>
      <c r="N32" s="66" t="e">
        <f>M32-#REF!</f>
        <v>#REF!</v>
      </c>
      <c r="O32" s="21" t="e">
        <f t="shared" si="9"/>
        <v>#REF!</v>
      </c>
    </row>
    <row r="33" spans="1:18" ht="15.75" thickBot="1" x14ac:dyDescent="0.3">
      <c r="A33" s="33"/>
      <c r="B33" s="34" t="s">
        <v>24</v>
      </c>
      <c r="C33" s="35"/>
      <c r="D33" s="62">
        <f>SUM(D16:D32)</f>
        <v>355</v>
      </c>
      <c r="E33" s="35"/>
      <c r="F33" s="62">
        <f>SUM(F16:F32)</f>
        <v>25360</v>
      </c>
      <c r="G33" s="62">
        <f>SUM(G16:G32)</f>
        <v>4311.2</v>
      </c>
      <c r="H33" s="35"/>
      <c r="I33" s="62">
        <f>SUM(I16:I32)</f>
        <v>29671.200000000004</v>
      </c>
      <c r="J33" s="37"/>
      <c r="M33" t="e">
        <f>#REF!/117*100</f>
        <v>#REF!</v>
      </c>
      <c r="O33" t="e">
        <f>M33*1.1</f>
        <v>#REF!</v>
      </c>
    </row>
    <row r="34" spans="1:18" ht="15.75" thickTop="1" x14ac:dyDescent="0.25">
      <c r="A34" s="33"/>
      <c r="B34" s="34" t="s">
        <v>2165</v>
      </c>
      <c r="C34" s="35"/>
      <c r="D34" s="35"/>
      <c r="E34" s="35"/>
      <c r="F34" s="35"/>
      <c r="G34" s="35"/>
      <c r="H34" s="35"/>
      <c r="I34" s="35"/>
      <c r="J34" s="37"/>
    </row>
    <row r="35" spans="1:18" x14ac:dyDescent="0.25">
      <c r="A35" s="33"/>
      <c r="B35" s="38" t="s">
        <v>25</v>
      </c>
      <c r="C35" s="35"/>
      <c r="D35" s="35"/>
      <c r="E35" s="35"/>
      <c r="F35" s="35"/>
      <c r="G35" s="35"/>
      <c r="H35" s="35"/>
      <c r="I35" s="35"/>
      <c r="J35" s="37"/>
      <c r="M35" s="64" t="e">
        <f>M33*#REF!</f>
        <v>#REF!</v>
      </c>
      <c r="O35" s="65" t="e">
        <f>#REF!</f>
        <v>#REF!</v>
      </c>
      <c r="P35" s="64" t="e">
        <f>O35-M35</f>
        <v>#REF!</v>
      </c>
      <c r="Q35" s="64" t="e">
        <f>#REF!*0.045</f>
        <v>#REF!</v>
      </c>
      <c r="R35" s="64" t="e">
        <f>P35-Q35</f>
        <v>#REF!</v>
      </c>
    </row>
    <row r="36" spans="1:18" ht="30" customHeight="1" x14ac:dyDescent="0.25">
      <c r="B36" s="183" t="s">
        <v>26</v>
      </c>
      <c r="C36" s="183"/>
      <c r="D36" s="183"/>
      <c r="E36" s="183"/>
      <c r="F36" s="183"/>
      <c r="G36" s="183"/>
      <c r="H36" s="183"/>
      <c r="I36" s="183"/>
      <c r="J36" s="183"/>
      <c r="P36" s="64"/>
      <c r="R36" s="65" t="e">
        <f>#REF!-#REF!</f>
        <v>#REF!</v>
      </c>
    </row>
    <row r="37" spans="1:18" x14ac:dyDescent="0.25">
      <c r="B37" t="s">
        <v>634</v>
      </c>
    </row>
    <row r="40" spans="1:18" x14ac:dyDescent="0.25">
      <c r="B40" t="s">
        <v>28</v>
      </c>
      <c r="H40" t="s">
        <v>28</v>
      </c>
    </row>
    <row r="41" spans="1:18" x14ac:dyDescent="0.25">
      <c r="B41" t="s">
        <v>29</v>
      </c>
      <c r="H41" t="s">
        <v>30</v>
      </c>
    </row>
  </sheetData>
  <autoFilter ref="A15:J37" xr:uid="{00000000-0009-0000-0000-000000000000}"/>
  <mergeCells count="5">
    <mergeCell ref="A6:J6"/>
    <mergeCell ref="I7:J7"/>
    <mergeCell ref="I8:J8"/>
    <mergeCell ref="I9:J9"/>
    <mergeCell ref="B36:J36"/>
  </mergeCells>
  <hyperlinks>
    <hyperlink ref="H5" r:id="rId1" xr:uid="{54D91383-D285-4B08-B25F-1B693207C702}"/>
  </hyperlinks>
  <pageMargins left="0.2" right="0.1" top="0.25" bottom="0.25" header="0.3" footer="0.3"/>
  <pageSetup paperSize="9" orientation="portrait" r:id="rId2"/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5FE22-049F-452A-94A5-4B846E3FC076}">
  <dimension ref="A1:R33"/>
  <sheetViews>
    <sheetView topLeftCell="A6" workbookViewId="0">
      <selection activeCell="F22" activeCellId="1" sqref="F18:F20 F2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2104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2113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2114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1207</v>
      </c>
      <c r="C16" s="53" t="s">
        <v>987</v>
      </c>
      <c r="D16" s="79">
        <v>18</v>
      </c>
      <c r="E16" s="85">
        <v>35</v>
      </c>
      <c r="F16" s="56">
        <f t="shared" ref="F16:F23" si="0">D16*E16</f>
        <v>630</v>
      </c>
      <c r="G16" s="56">
        <f>F16*0.17</f>
        <v>107.10000000000001</v>
      </c>
      <c r="H16" s="125">
        <f>E16*1.17</f>
        <v>40.949999999999996</v>
      </c>
      <c r="I16" s="56">
        <f t="shared" ref="I16:I23" si="1">H16*D16</f>
        <v>737.09999999999991</v>
      </c>
      <c r="J16" s="83"/>
      <c r="N16" s="66"/>
    </row>
    <row r="17" spans="1:18" s="21" customFormat="1" ht="15.75" x14ac:dyDescent="0.25">
      <c r="A17" s="53">
        <v>2</v>
      </c>
      <c r="B17" s="78" t="s">
        <v>1149</v>
      </c>
      <c r="C17" s="53" t="s">
        <v>987</v>
      </c>
      <c r="D17" s="79">
        <v>18</v>
      </c>
      <c r="E17" s="85">
        <v>30</v>
      </c>
      <c r="F17" s="56">
        <f t="shared" si="0"/>
        <v>540</v>
      </c>
      <c r="G17" s="56">
        <f>F17*0.17</f>
        <v>91.800000000000011</v>
      </c>
      <c r="H17" s="125">
        <f>E17*1.17</f>
        <v>35.099999999999994</v>
      </c>
      <c r="I17" s="56">
        <f t="shared" si="1"/>
        <v>631.79999999999995</v>
      </c>
      <c r="J17" s="83"/>
      <c r="N17" s="66"/>
    </row>
    <row r="18" spans="1:18" s="21" customFormat="1" ht="15.75" x14ac:dyDescent="0.25">
      <c r="A18" s="53">
        <v>3</v>
      </c>
      <c r="B18" s="78" t="s">
        <v>2087</v>
      </c>
      <c r="C18" s="53" t="s">
        <v>987</v>
      </c>
      <c r="D18" s="79">
        <v>2000</v>
      </c>
      <c r="E18" s="85">
        <v>7.5</v>
      </c>
      <c r="F18" s="56">
        <f t="shared" si="0"/>
        <v>15000</v>
      </c>
      <c r="G18" s="56">
        <f>F18*0</f>
        <v>0</v>
      </c>
      <c r="H18" s="125">
        <f>E18*1</f>
        <v>7.5</v>
      </c>
      <c r="I18" s="56">
        <f t="shared" si="1"/>
        <v>15000</v>
      </c>
      <c r="J18" s="83"/>
      <c r="N18" s="66"/>
    </row>
    <row r="19" spans="1:18" s="21" customFormat="1" ht="15.75" x14ac:dyDescent="0.25">
      <c r="A19" s="53">
        <v>4</v>
      </c>
      <c r="B19" s="78" t="s">
        <v>69</v>
      </c>
      <c r="C19" s="53" t="s">
        <v>987</v>
      </c>
      <c r="D19" s="79">
        <v>144</v>
      </c>
      <c r="E19" s="85">
        <v>7.5</v>
      </c>
      <c r="F19" s="56">
        <f t="shared" si="0"/>
        <v>1080</v>
      </c>
      <c r="G19" s="56">
        <f>F19*0</f>
        <v>0</v>
      </c>
      <c r="H19" s="125">
        <f>E19*1</f>
        <v>7.5</v>
      </c>
      <c r="I19" s="56">
        <f t="shared" si="1"/>
        <v>1080</v>
      </c>
      <c r="J19" s="83"/>
      <c r="N19" s="66"/>
    </row>
    <row r="20" spans="1:18" s="21" customFormat="1" ht="15.75" x14ac:dyDescent="0.25">
      <c r="A20" s="53">
        <v>5</v>
      </c>
      <c r="B20" s="78" t="s">
        <v>2088</v>
      </c>
      <c r="C20" s="53" t="s">
        <v>987</v>
      </c>
      <c r="D20" s="79">
        <v>18</v>
      </c>
      <c r="E20" s="85">
        <v>38</v>
      </c>
      <c r="F20" s="56">
        <f t="shared" si="0"/>
        <v>684</v>
      </c>
      <c r="G20" s="56">
        <f>F20*0</f>
        <v>0</v>
      </c>
      <c r="H20" s="125">
        <f>E20*1</f>
        <v>38</v>
      </c>
      <c r="I20" s="56">
        <f t="shared" si="1"/>
        <v>684</v>
      </c>
      <c r="J20" s="83"/>
      <c r="N20" s="66"/>
    </row>
    <row r="21" spans="1:18" s="21" customFormat="1" ht="15.75" x14ac:dyDescent="0.25">
      <c r="A21" s="53">
        <v>6</v>
      </c>
      <c r="B21" s="78" t="s">
        <v>1084</v>
      </c>
      <c r="C21" s="53" t="s">
        <v>987</v>
      </c>
      <c r="D21" s="79">
        <v>18</v>
      </c>
      <c r="E21" s="85">
        <v>220</v>
      </c>
      <c r="F21" s="56">
        <f t="shared" si="0"/>
        <v>3960</v>
      </c>
      <c r="G21" s="56">
        <f>F21*0.17</f>
        <v>673.2</v>
      </c>
      <c r="H21" s="125">
        <f>E21*1.17</f>
        <v>257.39999999999998</v>
      </c>
      <c r="I21" s="56">
        <f t="shared" si="1"/>
        <v>4633.2</v>
      </c>
      <c r="J21" s="83"/>
      <c r="N21" s="66"/>
    </row>
    <row r="22" spans="1:18" s="21" customFormat="1" ht="15.75" x14ac:dyDescent="0.25">
      <c r="A22" s="53">
        <v>7</v>
      </c>
      <c r="B22" s="78" t="s">
        <v>2089</v>
      </c>
      <c r="C22" s="53" t="s">
        <v>987</v>
      </c>
      <c r="D22" s="79">
        <v>288</v>
      </c>
      <c r="E22" s="85">
        <v>7.5</v>
      </c>
      <c r="F22" s="56">
        <f t="shared" si="0"/>
        <v>2160</v>
      </c>
      <c r="G22" s="56">
        <f>F22*0</f>
        <v>0</v>
      </c>
      <c r="H22" s="125">
        <f>E22*1</f>
        <v>7.5</v>
      </c>
      <c r="I22" s="56">
        <f t="shared" si="1"/>
        <v>2160</v>
      </c>
      <c r="J22" s="83"/>
      <c r="N22" s="66"/>
    </row>
    <row r="23" spans="1:18" s="21" customFormat="1" ht="15.75" x14ac:dyDescent="0.25">
      <c r="A23" s="53">
        <v>8</v>
      </c>
      <c r="B23" s="78" t="s">
        <v>2090</v>
      </c>
      <c r="C23" s="53" t="s">
        <v>987</v>
      </c>
      <c r="D23" s="79">
        <v>18</v>
      </c>
      <c r="E23" s="85">
        <v>255</v>
      </c>
      <c r="F23" s="56">
        <f t="shared" si="0"/>
        <v>4590</v>
      </c>
      <c r="G23" s="56">
        <f>F23*0.17</f>
        <v>780.30000000000007</v>
      </c>
      <c r="H23" s="125">
        <f>E23*1.17</f>
        <v>298.34999999999997</v>
      </c>
      <c r="I23" s="56">
        <f t="shared" si="1"/>
        <v>5370.2999999999993</v>
      </c>
      <c r="J23" s="83"/>
      <c r="N23" s="66"/>
    </row>
    <row r="24" spans="1:18" s="21" customFormat="1" x14ac:dyDescent="0.25">
      <c r="A24" s="53"/>
      <c r="B24" s="47"/>
      <c r="C24" s="53"/>
      <c r="D24" s="79"/>
      <c r="E24" s="56"/>
      <c r="F24" s="56"/>
      <c r="G24" s="56"/>
      <c r="H24" s="57"/>
      <c r="I24" s="56"/>
      <c r="J24" s="58"/>
      <c r="N24" s="66"/>
    </row>
    <row r="25" spans="1:18" ht="15.75" thickBot="1" x14ac:dyDescent="0.3">
      <c r="A25" s="33"/>
      <c r="B25" s="34" t="s">
        <v>24</v>
      </c>
      <c r="C25" s="35"/>
      <c r="D25" s="62">
        <f>SUM(D16:D24)</f>
        <v>2522</v>
      </c>
      <c r="E25" s="35"/>
      <c r="F25" s="62">
        <f>SUM(F16:F24)</f>
        <v>28644</v>
      </c>
      <c r="G25" s="62">
        <f>SUM(G16:G24)</f>
        <v>1652.4</v>
      </c>
      <c r="H25" s="35"/>
      <c r="I25" s="62">
        <f>SUM(I16:I24)</f>
        <v>30296.400000000001</v>
      </c>
      <c r="J25" s="37"/>
    </row>
    <row r="26" spans="1:18" ht="15.75" thickTop="1" x14ac:dyDescent="0.25">
      <c r="A26" s="33"/>
      <c r="B26" s="34" t="s">
        <v>2091</v>
      </c>
      <c r="C26" s="35"/>
      <c r="D26" s="35"/>
      <c r="E26" s="35"/>
      <c r="F26" s="35"/>
      <c r="G26" s="35"/>
      <c r="H26" s="35"/>
      <c r="I26" s="35"/>
      <c r="J26" s="37"/>
    </row>
    <row r="27" spans="1:18" x14ac:dyDescent="0.25">
      <c r="A27" s="33"/>
      <c r="B27" s="38" t="s">
        <v>25</v>
      </c>
      <c r="C27" s="35"/>
      <c r="D27" s="35"/>
      <c r="E27" s="35"/>
      <c r="F27" s="35"/>
      <c r="G27" s="35"/>
      <c r="H27" s="35"/>
      <c r="I27" s="35"/>
      <c r="J27" s="37"/>
      <c r="M27" s="64"/>
      <c r="O27" s="65"/>
      <c r="P27" s="64"/>
      <c r="Q27" s="64"/>
      <c r="R27" s="64"/>
    </row>
    <row r="28" spans="1:18" ht="30" customHeight="1" x14ac:dyDescent="0.25">
      <c r="B28" s="183" t="s">
        <v>26</v>
      </c>
      <c r="C28" s="183"/>
      <c r="D28" s="183"/>
      <c r="E28" s="183"/>
      <c r="F28" s="183"/>
      <c r="G28" s="183"/>
      <c r="H28" s="183"/>
      <c r="I28" s="183"/>
      <c r="J28" s="183"/>
      <c r="P28" s="64"/>
      <c r="R28" s="65"/>
    </row>
    <row r="29" spans="1:18" x14ac:dyDescent="0.25">
      <c r="B29" t="s">
        <v>634</v>
      </c>
    </row>
    <row r="32" spans="1:18" x14ac:dyDescent="0.25">
      <c r="B32" t="s">
        <v>28</v>
      </c>
      <c r="H32" t="s">
        <v>28</v>
      </c>
    </row>
    <row r="33" spans="2:8" x14ac:dyDescent="0.25">
      <c r="B33" t="s">
        <v>29</v>
      </c>
      <c r="H33" t="s">
        <v>30</v>
      </c>
    </row>
  </sheetData>
  <autoFilter ref="A15:J29" xr:uid="{00000000-0009-0000-0000-000000000000}"/>
  <mergeCells count="5">
    <mergeCell ref="A6:J6"/>
    <mergeCell ref="I7:J7"/>
    <mergeCell ref="I8:J8"/>
    <mergeCell ref="I9:J9"/>
    <mergeCell ref="B28:J28"/>
  </mergeCells>
  <hyperlinks>
    <hyperlink ref="H5" r:id="rId1" xr:uid="{D0E2EF4A-99DB-4461-94C1-42B080AEDA6A}"/>
  </hyperlinks>
  <pageMargins left="0.2" right="0.1" top="0.25" bottom="0.2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EBA80-6C86-4286-A929-85EE51F79908}">
  <dimension ref="A1:R26"/>
  <sheetViews>
    <sheetView topLeftCell="A13" workbookViewId="0">
      <selection activeCell="B28" sqref="B2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2312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2313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2335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2336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2337</v>
      </c>
      <c r="J9" s="188"/>
    </row>
    <row r="10" spans="1:14" x14ac:dyDescent="0.25">
      <c r="B10" t="s">
        <v>9</v>
      </c>
      <c r="C10" s="139" t="s">
        <v>2338</v>
      </c>
      <c r="D10" s="10"/>
      <c r="E10" s="10"/>
      <c r="F10" s="10"/>
    </row>
    <row r="11" spans="1:14" x14ac:dyDescent="0.25">
      <c r="B11" t="s">
        <v>11</v>
      </c>
      <c r="C11" s="132" t="s">
        <v>2339</v>
      </c>
      <c r="D11" s="11"/>
      <c r="E11" s="11"/>
      <c r="F11" s="11"/>
    </row>
    <row r="12" spans="1:14" x14ac:dyDescent="0.25">
      <c r="A12" s="12"/>
      <c r="B12" s="13"/>
      <c r="C12" s="140" t="s">
        <v>2340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189" t="s">
        <v>14</v>
      </c>
      <c r="C15" s="189"/>
      <c r="D15" s="76" t="s">
        <v>15</v>
      </c>
      <c r="E15" s="76" t="s">
        <v>16</v>
      </c>
      <c r="F15" s="76" t="s">
        <v>18</v>
      </c>
      <c r="G15" s="76" t="s">
        <v>1083</v>
      </c>
      <c r="H15" s="76" t="s">
        <v>21</v>
      </c>
      <c r="I15" s="190" t="s">
        <v>22</v>
      </c>
      <c r="J15" s="191"/>
    </row>
    <row r="16" spans="1:14" s="21" customFormat="1" ht="45" customHeight="1" x14ac:dyDescent="0.25">
      <c r="A16" s="53">
        <v>1</v>
      </c>
      <c r="B16" s="180" t="s">
        <v>2341</v>
      </c>
      <c r="C16" s="180"/>
      <c r="D16" s="53" t="s">
        <v>23</v>
      </c>
      <c r="E16" s="79">
        <v>3</v>
      </c>
      <c r="F16" s="56">
        <v>9600</v>
      </c>
      <c r="G16" s="149">
        <f>F16*0.17</f>
        <v>1632.0000000000002</v>
      </c>
      <c r="H16" s="56">
        <f>F16+G16</f>
        <v>11232</v>
      </c>
      <c r="I16" s="178"/>
      <c r="J16" s="179"/>
      <c r="N16" s="66"/>
    </row>
    <row r="17" spans="1:18" s="21" customFormat="1" ht="15.75" customHeight="1" x14ac:dyDescent="0.25">
      <c r="A17" s="53"/>
      <c r="B17" s="181"/>
      <c r="C17" s="182"/>
      <c r="D17" s="79"/>
      <c r="E17" s="56"/>
      <c r="F17" s="56"/>
      <c r="G17" s="149"/>
      <c r="H17" s="85"/>
      <c r="I17" s="178"/>
      <c r="J17" s="179"/>
      <c r="N17" s="66"/>
    </row>
    <row r="18" spans="1:18" ht="15.75" thickBot="1" x14ac:dyDescent="0.3">
      <c r="A18" s="33"/>
      <c r="B18" s="34" t="s">
        <v>24</v>
      </c>
      <c r="C18" s="35"/>
      <c r="E18" s="62">
        <f>SUM(E16:E17)</f>
        <v>3</v>
      </c>
      <c r="F18" s="62">
        <f>SUM(F16:F17)</f>
        <v>9600</v>
      </c>
      <c r="G18" s="62">
        <f>SUM(G16:G17)</f>
        <v>1632.0000000000002</v>
      </c>
      <c r="H18" s="62">
        <f>SUM(H16:H17)</f>
        <v>11232</v>
      </c>
      <c r="J18" s="37"/>
    </row>
    <row r="19" spans="1:18" ht="15.75" thickTop="1" x14ac:dyDescent="0.25">
      <c r="A19" s="33"/>
      <c r="B19" s="34" t="s">
        <v>1003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11">
    <mergeCell ref="A6:J6"/>
    <mergeCell ref="I7:J7"/>
    <mergeCell ref="I8:J8"/>
    <mergeCell ref="I9:J9"/>
    <mergeCell ref="B15:C15"/>
    <mergeCell ref="I15:J15"/>
    <mergeCell ref="B16:C16"/>
    <mergeCell ref="I16:J16"/>
    <mergeCell ref="B17:C17"/>
    <mergeCell ref="I17:J17"/>
    <mergeCell ref="B21:J21"/>
  </mergeCells>
  <hyperlinks>
    <hyperlink ref="H5" r:id="rId1" xr:uid="{0F294556-F3C1-4100-A875-C40084558F58}"/>
  </hyperlinks>
  <pageMargins left="0.2" right="0.1" top="0.25" bottom="0.25" header="0.3" footer="0.3"/>
  <pageSetup paperSize="9" orientation="portrait" r:id="rId2"/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A26C0-D31A-4DBB-A895-C95E36B6FCA9}">
  <dimension ref="A1:R33"/>
  <sheetViews>
    <sheetView topLeftCell="A9" workbookViewId="0">
      <selection activeCell="G26" sqref="G2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2104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2103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2112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72</v>
      </c>
      <c r="C16" s="53" t="s">
        <v>987</v>
      </c>
      <c r="D16" s="79">
        <v>48</v>
      </c>
      <c r="E16" s="85">
        <v>35</v>
      </c>
      <c r="F16" s="56">
        <f t="shared" ref="F16:F23" si="0">D16*E16</f>
        <v>1680</v>
      </c>
      <c r="G16" s="56">
        <f>F16*0.17</f>
        <v>285.60000000000002</v>
      </c>
      <c r="H16" s="125">
        <f>E16*1.17</f>
        <v>40.949999999999996</v>
      </c>
      <c r="I16" s="56">
        <f t="shared" ref="I16:I23" si="1">H16*D16</f>
        <v>1965.6</v>
      </c>
      <c r="J16" s="83"/>
      <c r="N16" s="66"/>
    </row>
    <row r="17" spans="1:18" s="21" customFormat="1" ht="15.75" x14ac:dyDescent="0.25">
      <c r="A17" s="53">
        <v>2</v>
      </c>
      <c r="B17" s="78" t="s">
        <v>2105</v>
      </c>
      <c r="C17" s="53" t="s">
        <v>987</v>
      </c>
      <c r="D17" s="79">
        <v>24</v>
      </c>
      <c r="E17" s="85">
        <v>75</v>
      </c>
      <c r="F17" s="56">
        <f t="shared" si="0"/>
        <v>1800</v>
      </c>
      <c r="G17" s="56">
        <f t="shared" ref="G17:G22" si="2">F17*0.17</f>
        <v>306</v>
      </c>
      <c r="H17" s="125">
        <f t="shared" ref="H17:H22" si="3">E17*1.17</f>
        <v>87.75</v>
      </c>
      <c r="I17" s="56">
        <f t="shared" si="1"/>
        <v>2106</v>
      </c>
      <c r="J17" s="83"/>
      <c r="N17" s="66"/>
    </row>
    <row r="18" spans="1:18" s="21" customFormat="1" ht="15.75" x14ac:dyDescent="0.25">
      <c r="A18" s="53">
        <v>3</v>
      </c>
      <c r="B18" s="78" t="s">
        <v>115</v>
      </c>
      <c r="C18" s="53" t="s">
        <v>987</v>
      </c>
      <c r="D18" s="79">
        <v>24</v>
      </c>
      <c r="E18" s="85">
        <v>100</v>
      </c>
      <c r="F18" s="56">
        <f t="shared" si="0"/>
        <v>2400</v>
      </c>
      <c r="G18" s="56">
        <f t="shared" si="2"/>
        <v>408.00000000000006</v>
      </c>
      <c r="H18" s="125">
        <f t="shared" si="3"/>
        <v>117</v>
      </c>
      <c r="I18" s="56">
        <f t="shared" si="1"/>
        <v>2808</v>
      </c>
      <c r="J18" s="83"/>
      <c r="N18" s="66"/>
    </row>
    <row r="19" spans="1:18" s="21" customFormat="1" ht="15.75" x14ac:dyDescent="0.25">
      <c r="A19" s="53">
        <v>4</v>
      </c>
      <c r="B19" s="78" t="s">
        <v>2106</v>
      </c>
      <c r="C19" s="53" t="s">
        <v>987</v>
      </c>
      <c r="D19" s="79">
        <v>48</v>
      </c>
      <c r="E19" s="85">
        <v>30</v>
      </c>
      <c r="F19" s="56">
        <f t="shared" si="0"/>
        <v>1440</v>
      </c>
      <c r="G19" s="56">
        <f t="shared" si="2"/>
        <v>244.8</v>
      </c>
      <c r="H19" s="125">
        <f t="shared" si="3"/>
        <v>35.099999999999994</v>
      </c>
      <c r="I19" s="56">
        <f t="shared" si="1"/>
        <v>1684.7999999999997</v>
      </c>
      <c r="J19" s="83"/>
      <c r="N19" s="66"/>
    </row>
    <row r="20" spans="1:18" s="21" customFormat="1" ht="15.75" x14ac:dyDescent="0.25">
      <c r="A20" s="53">
        <v>5</v>
      </c>
      <c r="B20" s="78" t="s">
        <v>2107</v>
      </c>
      <c r="C20" s="53" t="s">
        <v>987</v>
      </c>
      <c r="D20" s="79">
        <v>5</v>
      </c>
      <c r="E20" s="85">
        <v>720</v>
      </c>
      <c r="F20" s="56">
        <f t="shared" si="0"/>
        <v>3600</v>
      </c>
      <c r="G20" s="56">
        <f t="shared" si="2"/>
        <v>612</v>
      </c>
      <c r="H20" s="125">
        <f t="shared" si="3"/>
        <v>842.4</v>
      </c>
      <c r="I20" s="56">
        <f t="shared" si="1"/>
        <v>4212</v>
      </c>
      <c r="J20" s="83"/>
      <c r="N20" s="66"/>
    </row>
    <row r="21" spans="1:18" s="21" customFormat="1" ht="15.75" x14ac:dyDescent="0.25">
      <c r="A21" s="53">
        <v>6</v>
      </c>
      <c r="B21" s="78" t="s">
        <v>2108</v>
      </c>
      <c r="C21" s="53" t="s">
        <v>987</v>
      </c>
      <c r="D21" s="79">
        <v>50</v>
      </c>
      <c r="E21" s="85">
        <v>25</v>
      </c>
      <c r="F21" s="56">
        <f t="shared" si="0"/>
        <v>1250</v>
      </c>
      <c r="G21" s="56">
        <f t="shared" si="2"/>
        <v>212.50000000000003</v>
      </c>
      <c r="H21" s="125">
        <f t="shared" si="3"/>
        <v>29.25</v>
      </c>
      <c r="I21" s="56">
        <f t="shared" si="1"/>
        <v>1462.5</v>
      </c>
      <c r="J21" s="83"/>
      <c r="N21" s="66"/>
    </row>
    <row r="22" spans="1:18" s="21" customFormat="1" ht="15.75" x14ac:dyDescent="0.25">
      <c r="A22" s="53">
        <v>7</v>
      </c>
      <c r="B22" s="78" t="s">
        <v>2109</v>
      </c>
      <c r="C22" s="53" t="s">
        <v>987</v>
      </c>
      <c r="D22" s="79">
        <v>24</v>
      </c>
      <c r="E22" s="85">
        <v>90</v>
      </c>
      <c r="F22" s="56">
        <f t="shared" si="0"/>
        <v>2160</v>
      </c>
      <c r="G22" s="56">
        <f t="shared" si="2"/>
        <v>367.20000000000005</v>
      </c>
      <c r="H22" s="125">
        <f t="shared" si="3"/>
        <v>105.3</v>
      </c>
      <c r="I22" s="56">
        <f t="shared" si="1"/>
        <v>2527.1999999999998</v>
      </c>
      <c r="J22" s="83"/>
      <c r="N22" s="66"/>
    </row>
    <row r="23" spans="1:18" s="21" customFormat="1" ht="15.75" x14ac:dyDescent="0.25">
      <c r="A23" s="53">
        <v>8</v>
      </c>
      <c r="B23" s="78" t="s">
        <v>2110</v>
      </c>
      <c r="C23" s="53" t="s">
        <v>987</v>
      </c>
      <c r="D23" s="79">
        <v>18</v>
      </c>
      <c r="E23" s="85">
        <v>65</v>
      </c>
      <c r="F23" s="56">
        <f t="shared" si="0"/>
        <v>1170</v>
      </c>
      <c r="G23" s="56">
        <f>F23*0.17</f>
        <v>198.9</v>
      </c>
      <c r="H23" s="125">
        <f>E23*1.17</f>
        <v>76.05</v>
      </c>
      <c r="I23" s="56">
        <f t="shared" si="1"/>
        <v>1368.8999999999999</v>
      </c>
      <c r="J23" s="83"/>
      <c r="N23" s="66"/>
    </row>
    <row r="24" spans="1:18" s="21" customFormat="1" x14ac:dyDescent="0.25">
      <c r="A24" s="53"/>
      <c r="B24" s="47"/>
      <c r="C24" s="53"/>
      <c r="D24" s="79"/>
      <c r="E24" s="56"/>
      <c r="F24" s="56"/>
      <c r="G24" s="56"/>
      <c r="H24" s="57"/>
      <c r="I24" s="56"/>
      <c r="J24" s="58"/>
      <c r="N24" s="66"/>
    </row>
    <row r="25" spans="1:18" ht="15.75" thickBot="1" x14ac:dyDescent="0.3">
      <c r="A25" s="33"/>
      <c r="B25" s="34" t="s">
        <v>24</v>
      </c>
      <c r="C25" s="35"/>
      <c r="D25" s="62">
        <f>SUM(D16:D24)</f>
        <v>241</v>
      </c>
      <c r="E25" s="35"/>
      <c r="F25" s="62">
        <f>SUM(F16:F24)</f>
        <v>15500</v>
      </c>
      <c r="G25" s="62">
        <f>SUM(G16:G24)</f>
        <v>2635.0000000000005</v>
      </c>
      <c r="H25" s="35"/>
      <c r="I25" s="62">
        <f>SUM(I16:I24)</f>
        <v>18135</v>
      </c>
      <c r="J25" s="37"/>
    </row>
    <row r="26" spans="1:18" ht="15.75" thickTop="1" x14ac:dyDescent="0.25">
      <c r="A26" s="33"/>
      <c r="B26" s="34" t="s">
        <v>2111</v>
      </c>
      <c r="C26" s="35"/>
      <c r="D26" s="35"/>
      <c r="E26" s="35"/>
      <c r="F26" s="35"/>
      <c r="G26" s="35"/>
      <c r="H26" s="35"/>
      <c r="I26" s="35"/>
      <c r="J26" s="37"/>
    </row>
    <row r="27" spans="1:18" x14ac:dyDescent="0.25">
      <c r="A27" s="33"/>
      <c r="B27" s="38" t="s">
        <v>25</v>
      </c>
      <c r="C27" s="35"/>
      <c r="D27" s="35"/>
      <c r="E27" s="35"/>
      <c r="F27" s="35"/>
      <c r="G27" s="35"/>
      <c r="H27" s="35"/>
      <c r="I27" s="35"/>
      <c r="J27" s="37"/>
      <c r="M27" s="64"/>
      <c r="O27" s="65"/>
      <c r="P27" s="64"/>
      <c r="Q27" s="64"/>
      <c r="R27" s="64"/>
    </row>
    <row r="28" spans="1:18" ht="30" customHeight="1" x14ac:dyDescent="0.25">
      <c r="B28" s="183" t="s">
        <v>26</v>
      </c>
      <c r="C28" s="183"/>
      <c r="D28" s="183"/>
      <c r="E28" s="183"/>
      <c r="F28" s="183"/>
      <c r="G28" s="183"/>
      <c r="H28" s="183"/>
      <c r="I28" s="183"/>
      <c r="J28" s="183"/>
      <c r="P28" s="64"/>
      <c r="R28" s="65"/>
    </row>
    <row r="29" spans="1:18" x14ac:dyDescent="0.25">
      <c r="B29" t="s">
        <v>634</v>
      </c>
    </row>
    <row r="32" spans="1:18" x14ac:dyDescent="0.25">
      <c r="B32" t="s">
        <v>28</v>
      </c>
      <c r="H32" t="s">
        <v>28</v>
      </c>
    </row>
    <row r="33" spans="2:8" x14ac:dyDescent="0.25">
      <c r="B33" t="s">
        <v>29</v>
      </c>
      <c r="H33" t="s">
        <v>30</v>
      </c>
    </row>
  </sheetData>
  <autoFilter ref="A15:J29" xr:uid="{00000000-0009-0000-0000-000000000000}"/>
  <mergeCells count="5">
    <mergeCell ref="A6:J6"/>
    <mergeCell ref="I7:J7"/>
    <mergeCell ref="I8:J8"/>
    <mergeCell ref="I9:J9"/>
    <mergeCell ref="B28:J28"/>
  </mergeCells>
  <hyperlinks>
    <hyperlink ref="H5" r:id="rId1" xr:uid="{E4DFF6E8-0E40-40F0-BE45-037C1A693E02}"/>
  </hyperlinks>
  <pageMargins left="0.2" right="0.1" top="0.25" bottom="0.25" header="0.3" footer="0.3"/>
  <pageSetup paperSize="9" orientation="portrait" r:id="rId2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B1F39-C7AA-4182-8153-E53E5973F4DC}">
  <dimension ref="A1:R26"/>
  <sheetViews>
    <sheetView workbookViewId="0">
      <selection activeCell="A5" sqref="A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2129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2151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1414</v>
      </c>
      <c r="D10" s="10"/>
      <c r="E10" s="10"/>
      <c r="F10" s="10"/>
    </row>
    <row r="11" spans="1:14" x14ac:dyDescent="0.25">
      <c r="B11" t="s">
        <v>11</v>
      </c>
      <c r="C11" s="10" t="s">
        <v>52</v>
      </c>
      <c r="D11" s="11"/>
      <c r="E11" s="11"/>
      <c r="F11" s="11"/>
    </row>
    <row r="12" spans="1:14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1912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2152</v>
      </c>
      <c r="C16" s="53" t="s">
        <v>269</v>
      </c>
      <c r="D16" s="79">
        <v>20</v>
      </c>
      <c r="E16" s="56">
        <v>620</v>
      </c>
      <c r="F16" s="56">
        <f>D16*E16</f>
        <v>12400</v>
      </c>
      <c r="G16" s="146">
        <f>F16*0.17</f>
        <v>2108</v>
      </c>
      <c r="H16" s="125">
        <f>E16*1.17</f>
        <v>725.4</v>
      </c>
      <c r="I16" s="56">
        <f t="shared" ref="I16" si="0">H16*D16</f>
        <v>14508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20</v>
      </c>
      <c r="E18" s="35"/>
      <c r="F18" s="62">
        <f>SUM(F16:F17)</f>
        <v>12400</v>
      </c>
      <c r="G18" s="62">
        <f>SUM(G16:G17)</f>
        <v>2108</v>
      </c>
      <c r="H18" s="35"/>
      <c r="I18" s="62">
        <f>SUM(I16:I17)</f>
        <v>14508</v>
      </c>
      <c r="J18" s="37"/>
    </row>
    <row r="19" spans="1:18" ht="15.75" thickTop="1" x14ac:dyDescent="0.25">
      <c r="A19" s="33"/>
      <c r="B19" s="34" t="s">
        <v>1277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1631807B-8B40-42E4-AC11-AEA5ED875E37}"/>
  </hyperlinks>
  <pageMargins left="0.2" right="0.1" top="0.25" bottom="0.25" header="0.3" footer="0.3"/>
  <pageSetup paperSize="9" orientation="portrait" r:id="rId2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97E59-8181-4EA6-851A-98116C8CFA04}">
  <dimension ref="A1:R29"/>
  <sheetViews>
    <sheetView workbookViewId="0">
      <selection activeCell="A10" sqref="A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2129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2145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1414</v>
      </c>
      <c r="D10" s="10"/>
      <c r="E10" s="10"/>
      <c r="F10" s="10"/>
    </row>
    <row r="11" spans="1:14" x14ac:dyDescent="0.25">
      <c r="B11" t="s">
        <v>11</v>
      </c>
      <c r="C11" s="10" t="s">
        <v>52</v>
      </c>
      <c r="D11" s="11"/>
      <c r="E11" s="11"/>
      <c r="F11" s="11"/>
    </row>
    <row r="12" spans="1:14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1912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2146</v>
      </c>
      <c r="C16" s="53" t="s">
        <v>23</v>
      </c>
      <c r="D16" s="79">
        <v>400</v>
      </c>
      <c r="E16" s="56">
        <v>20</v>
      </c>
      <c r="F16" s="56">
        <f>D16*E16</f>
        <v>8000</v>
      </c>
      <c r="G16" s="146">
        <f>F16*0.17</f>
        <v>1360</v>
      </c>
      <c r="H16" s="125">
        <f>E16*1.17</f>
        <v>23.4</v>
      </c>
      <c r="I16" s="56">
        <f t="shared" ref="I16:I19" si="0">H16*D16</f>
        <v>9360</v>
      </c>
      <c r="J16" s="83"/>
      <c r="N16" s="66"/>
    </row>
    <row r="17" spans="1:18" s="21" customFormat="1" ht="25.5" x14ac:dyDescent="0.25">
      <c r="A17" s="53">
        <f>A16+1</f>
        <v>2</v>
      </c>
      <c r="B17" s="78" t="s">
        <v>2147</v>
      </c>
      <c r="C17" s="53" t="s">
        <v>76</v>
      </c>
      <c r="D17" s="79">
        <v>15</v>
      </c>
      <c r="E17" s="56">
        <v>130</v>
      </c>
      <c r="F17" s="56">
        <f t="shared" ref="F17:F19" si="1">D17*E17</f>
        <v>1950</v>
      </c>
      <c r="G17" s="146">
        <f t="shared" ref="G17:G19" si="2">F17*0.17</f>
        <v>331.5</v>
      </c>
      <c r="H17" s="125">
        <f t="shared" ref="H17:H19" si="3">E17*1.17</f>
        <v>152.1</v>
      </c>
      <c r="I17" s="56">
        <f t="shared" si="0"/>
        <v>2281.5</v>
      </c>
      <c r="J17" s="83"/>
      <c r="N17" s="66"/>
    </row>
    <row r="18" spans="1:18" s="21" customFormat="1" ht="15.75" x14ac:dyDescent="0.25">
      <c r="A18" s="53">
        <f t="shared" ref="A18:A19" si="4">A17+1</f>
        <v>3</v>
      </c>
      <c r="B18" s="78" t="s">
        <v>2148</v>
      </c>
      <c r="C18" s="53" t="s">
        <v>76</v>
      </c>
      <c r="D18" s="79">
        <v>15</v>
      </c>
      <c r="E18" s="56">
        <v>100</v>
      </c>
      <c r="F18" s="56">
        <f t="shared" si="1"/>
        <v>1500</v>
      </c>
      <c r="G18" s="146">
        <f t="shared" si="2"/>
        <v>255.00000000000003</v>
      </c>
      <c r="H18" s="125">
        <f t="shared" si="3"/>
        <v>117</v>
      </c>
      <c r="I18" s="56">
        <f t="shared" si="0"/>
        <v>1755</v>
      </c>
      <c r="J18" s="83"/>
      <c r="N18" s="66"/>
    </row>
    <row r="19" spans="1:18" s="21" customFormat="1" ht="25.5" x14ac:dyDescent="0.25">
      <c r="A19" s="53">
        <f t="shared" si="4"/>
        <v>4</v>
      </c>
      <c r="B19" s="78" t="s">
        <v>2149</v>
      </c>
      <c r="C19" s="53" t="s">
        <v>76</v>
      </c>
      <c r="D19" s="79">
        <v>30</v>
      </c>
      <c r="E19" s="56">
        <v>90</v>
      </c>
      <c r="F19" s="56">
        <f t="shared" si="1"/>
        <v>2700</v>
      </c>
      <c r="G19" s="146">
        <f t="shared" si="2"/>
        <v>459.00000000000006</v>
      </c>
      <c r="H19" s="125">
        <f t="shared" si="3"/>
        <v>105.3</v>
      </c>
      <c r="I19" s="56">
        <f t="shared" si="0"/>
        <v>3159</v>
      </c>
      <c r="J19" s="83"/>
      <c r="N19" s="66"/>
    </row>
    <row r="20" spans="1:18" s="21" customFormat="1" x14ac:dyDescent="0.25">
      <c r="A20" s="53"/>
      <c r="B20" s="47"/>
      <c r="C20" s="53"/>
      <c r="D20" s="79"/>
      <c r="E20" s="56"/>
      <c r="F20" s="56"/>
      <c r="G20" s="56"/>
      <c r="H20" s="57"/>
      <c r="I20" s="56"/>
      <c r="J20" s="58"/>
      <c r="N20" s="66"/>
    </row>
    <row r="21" spans="1:18" ht="15.75" thickBot="1" x14ac:dyDescent="0.3">
      <c r="A21" s="33"/>
      <c r="B21" s="34" t="s">
        <v>24</v>
      </c>
      <c r="C21" s="35"/>
      <c r="D21" s="62">
        <f>SUM(D16:D20)</f>
        <v>460</v>
      </c>
      <c r="E21" s="35"/>
      <c r="F21" s="62">
        <f>SUM(F16:F20)</f>
        <v>14150</v>
      </c>
      <c r="G21" s="62">
        <f>SUM(G16:G20)</f>
        <v>2405.5</v>
      </c>
      <c r="H21" s="35"/>
      <c r="I21" s="62">
        <f>SUM(I16:I20)</f>
        <v>16555.5</v>
      </c>
      <c r="J21" s="37"/>
    </row>
    <row r="22" spans="1:18" ht="15.75" thickTop="1" x14ac:dyDescent="0.25">
      <c r="A22" s="33"/>
      <c r="B22" s="34" t="s">
        <v>2150</v>
      </c>
      <c r="C22" s="35"/>
      <c r="D22" s="35"/>
      <c r="E22" s="35"/>
      <c r="F22" s="35"/>
      <c r="G22" s="35"/>
      <c r="H22" s="35"/>
      <c r="I22" s="35"/>
      <c r="J22" s="37"/>
    </row>
    <row r="23" spans="1:18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  <c r="M23" s="64"/>
      <c r="O23" s="65"/>
      <c r="P23" s="64"/>
      <c r="Q23" s="64"/>
      <c r="R23" s="64"/>
    </row>
    <row r="24" spans="1:18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  <c r="P24" s="64"/>
      <c r="R24" s="65"/>
    </row>
    <row r="25" spans="1:18" x14ac:dyDescent="0.25">
      <c r="B25" t="s">
        <v>634</v>
      </c>
    </row>
    <row r="28" spans="1:18" x14ac:dyDescent="0.25">
      <c r="B28" t="s">
        <v>28</v>
      </c>
      <c r="H28" t="s">
        <v>28</v>
      </c>
    </row>
    <row r="29" spans="1:18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4FCD1670-4312-4BBE-BAA0-0F05CF8ED43A}"/>
  </hyperlinks>
  <pageMargins left="0.2" right="0.1" top="0.25" bottom="0.25" header="0.3" footer="0.3"/>
  <pageSetup paperSize="9"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F8D45-1CEC-4A75-AAB8-345FD13BCF73}">
  <dimension ref="A1:R41"/>
  <sheetViews>
    <sheetView topLeftCell="A11" workbookViewId="0">
      <selection activeCell="A29" sqref="A2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2129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2128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1414</v>
      </c>
      <c r="D10" s="10"/>
      <c r="E10" s="10"/>
      <c r="F10" s="10"/>
    </row>
    <row r="11" spans="1:14" x14ac:dyDescent="0.25">
      <c r="B11" t="s">
        <v>11</v>
      </c>
      <c r="C11" s="10" t="s">
        <v>52</v>
      </c>
      <c r="D11" s="11"/>
      <c r="E11" s="11"/>
      <c r="F11" s="11"/>
    </row>
    <row r="12" spans="1:14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1912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2130</v>
      </c>
      <c r="C16" s="53" t="s">
        <v>825</v>
      </c>
      <c r="D16" s="79">
        <v>6</v>
      </c>
      <c r="E16" s="56">
        <v>150</v>
      </c>
      <c r="F16" s="56">
        <f>D16*E16</f>
        <v>900</v>
      </c>
      <c r="G16" s="146">
        <f>F16*0.17</f>
        <v>153</v>
      </c>
      <c r="H16" s="125">
        <f>E16*1.17</f>
        <v>175.5</v>
      </c>
      <c r="I16" s="56">
        <f t="shared" ref="I16:I29" si="0">H16*D16</f>
        <v>1053</v>
      </c>
      <c r="J16" s="83"/>
      <c r="N16" s="66"/>
    </row>
    <row r="17" spans="1:14" s="21" customFormat="1" ht="15.75" x14ac:dyDescent="0.25">
      <c r="A17" s="53">
        <f>A16+1</f>
        <v>2</v>
      </c>
      <c r="B17" s="78" t="s">
        <v>2131</v>
      </c>
      <c r="C17" s="53" t="s">
        <v>825</v>
      </c>
      <c r="D17" s="79">
        <v>6</v>
      </c>
      <c r="E17" s="56">
        <v>150</v>
      </c>
      <c r="F17" s="56">
        <f t="shared" ref="F17:F25" si="1">D17*E17</f>
        <v>900</v>
      </c>
      <c r="G17" s="146">
        <f t="shared" ref="G17:G25" si="2">F17*0.17</f>
        <v>153</v>
      </c>
      <c r="H17" s="125">
        <f t="shared" ref="H17:H25" si="3">E17*1.17</f>
        <v>175.5</v>
      </c>
      <c r="I17" s="56">
        <f t="shared" si="0"/>
        <v>1053</v>
      </c>
      <c r="J17" s="83"/>
      <c r="N17" s="66"/>
    </row>
    <row r="18" spans="1:14" s="21" customFormat="1" ht="15.75" x14ac:dyDescent="0.25">
      <c r="A18" s="53">
        <f t="shared" ref="A18:A31" si="4">A17+1</f>
        <v>3</v>
      </c>
      <c r="B18" s="78" t="s">
        <v>2132</v>
      </c>
      <c r="C18" s="53" t="s">
        <v>23</v>
      </c>
      <c r="D18" s="79">
        <v>2</v>
      </c>
      <c r="E18" s="56">
        <v>140</v>
      </c>
      <c r="F18" s="56">
        <f t="shared" si="1"/>
        <v>280</v>
      </c>
      <c r="G18" s="146">
        <f t="shared" si="2"/>
        <v>47.6</v>
      </c>
      <c r="H18" s="125">
        <f t="shared" si="3"/>
        <v>163.79999999999998</v>
      </c>
      <c r="I18" s="56">
        <f t="shared" si="0"/>
        <v>327.59999999999997</v>
      </c>
      <c r="J18" s="83"/>
      <c r="N18" s="66"/>
    </row>
    <row r="19" spans="1:14" s="21" customFormat="1" ht="15.75" x14ac:dyDescent="0.25">
      <c r="A19" s="53">
        <f t="shared" si="4"/>
        <v>4</v>
      </c>
      <c r="B19" s="78" t="s">
        <v>1473</v>
      </c>
      <c r="C19" s="53" t="s">
        <v>825</v>
      </c>
      <c r="D19" s="79">
        <v>30</v>
      </c>
      <c r="E19" s="56">
        <v>86</v>
      </c>
      <c r="F19" s="56">
        <f t="shared" si="1"/>
        <v>2580</v>
      </c>
      <c r="G19" s="146">
        <f t="shared" si="2"/>
        <v>438.6</v>
      </c>
      <c r="H19" s="125">
        <f t="shared" si="3"/>
        <v>100.61999999999999</v>
      </c>
      <c r="I19" s="56">
        <f t="shared" si="0"/>
        <v>3018.6</v>
      </c>
      <c r="J19" s="83"/>
      <c r="N19" s="66"/>
    </row>
    <row r="20" spans="1:14" s="21" customFormat="1" ht="15.75" x14ac:dyDescent="0.25">
      <c r="A20" s="53">
        <f t="shared" si="4"/>
        <v>5</v>
      </c>
      <c r="B20" s="78" t="s">
        <v>2133</v>
      </c>
      <c r="C20" s="53" t="s">
        <v>23</v>
      </c>
      <c r="D20" s="79">
        <v>2</v>
      </c>
      <c r="E20" s="56">
        <v>340</v>
      </c>
      <c r="F20" s="56">
        <f t="shared" ref="F20:F22" si="5">D20*E20</f>
        <v>680</v>
      </c>
      <c r="G20" s="146">
        <f t="shared" ref="G20:G22" si="6">F20*0.17</f>
        <v>115.60000000000001</v>
      </c>
      <c r="H20" s="125">
        <f t="shared" ref="H20:H22" si="7">E20*1.17</f>
        <v>397.79999999999995</v>
      </c>
      <c r="I20" s="56">
        <f t="shared" si="0"/>
        <v>795.59999999999991</v>
      </c>
      <c r="J20" s="83"/>
      <c r="N20" s="66"/>
    </row>
    <row r="21" spans="1:14" s="21" customFormat="1" ht="15.75" x14ac:dyDescent="0.25">
      <c r="A21" s="53">
        <f t="shared" si="4"/>
        <v>6</v>
      </c>
      <c r="B21" s="78" t="s">
        <v>2134</v>
      </c>
      <c r="C21" s="53" t="s">
        <v>23</v>
      </c>
      <c r="D21" s="79">
        <v>5</v>
      </c>
      <c r="E21" s="56">
        <v>42</v>
      </c>
      <c r="F21" s="56">
        <f t="shared" si="5"/>
        <v>210</v>
      </c>
      <c r="G21" s="146">
        <f t="shared" si="6"/>
        <v>35.700000000000003</v>
      </c>
      <c r="H21" s="125">
        <f t="shared" si="7"/>
        <v>49.14</v>
      </c>
      <c r="I21" s="56">
        <f t="shared" si="0"/>
        <v>245.7</v>
      </c>
      <c r="J21" s="83"/>
      <c r="N21" s="66"/>
    </row>
    <row r="22" spans="1:14" s="21" customFormat="1" ht="15.75" x14ac:dyDescent="0.25">
      <c r="A22" s="53">
        <f t="shared" si="4"/>
        <v>7</v>
      </c>
      <c r="B22" s="78" t="s">
        <v>2135</v>
      </c>
      <c r="C22" s="53" t="s">
        <v>23</v>
      </c>
      <c r="D22" s="79">
        <v>6</v>
      </c>
      <c r="E22" s="56">
        <v>260</v>
      </c>
      <c r="F22" s="56">
        <f t="shared" si="5"/>
        <v>1560</v>
      </c>
      <c r="G22" s="146">
        <f t="shared" si="6"/>
        <v>265.20000000000005</v>
      </c>
      <c r="H22" s="125">
        <f t="shared" si="7"/>
        <v>304.2</v>
      </c>
      <c r="I22" s="56">
        <f t="shared" si="0"/>
        <v>1825.1999999999998</v>
      </c>
      <c r="J22" s="83"/>
      <c r="N22" s="66"/>
    </row>
    <row r="23" spans="1:14" s="21" customFormat="1" ht="15.75" x14ac:dyDescent="0.25">
      <c r="A23" s="53">
        <f t="shared" si="4"/>
        <v>8</v>
      </c>
      <c r="B23" s="78" t="s">
        <v>2136</v>
      </c>
      <c r="C23" s="53" t="s">
        <v>23</v>
      </c>
      <c r="D23" s="79">
        <v>12</v>
      </c>
      <c r="E23" s="56">
        <v>22</v>
      </c>
      <c r="F23" s="56">
        <f t="shared" si="1"/>
        <v>264</v>
      </c>
      <c r="G23" s="146">
        <f t="shared" si="2"/>
        <v>44.88</v>
      </c>
      <c r="H23" s="125">
        <f t="shared" si="3"/>
        <v>25.74</v>
      </c>
      <c r="I23" s="56">
        <f t="shared" ref="I23:I25" si="8">H23*D23</f>
        <v>308.88</v>
      </c>
      <c r="J23" s="83"/>
      <c r="N23" s="66"/>
    </row>
    <row r="24" spans="1:14" s="21" customFormat="1" ht="15.75" x14ac:dyDescent="0.25">
      <c r="A24" s="53">
        <f t="shared" si="4"/>
        <v>9</v>
      </c>
      <c r="B24" s="78" t="s">
        <v>2137</v>
      </c>
      <c r="C24" s="53" t="s">
        <v>23</v>
      </c>
      <c r="D24" s="79">
        <v>4</v>
      </c>
      <c r="E24" s="56">
        <v>250</v>
      </c>
      <c r="F24" s="56">
        <f t="shared" si="1"/>
        <v>1000</v>
      </c>
      <c r="G24" s="146">
        <f t="shared" si="2"/>
        <v>170</v>
      </c>
      <c r="H24" s="125">
        <f t="shared" si="3"/>
        <v>292.5</v>
      </c>
      <c r="I24" s="56">
        <f t="shared" si="8"/>
        <v>1170</v>
      </c>
      <c r="J24" s="83"/>
      <c r="N24" s="66"/>
    </row>
    <row r="25" spans="1:14" s="21" customFormat="1" ht="15.75" x14ac:dyDescent="0.25">
      <c r="A25" s="53">
        <f t="shared" si="4"/>
        <v>10</v>
      </c>
      <c r="B25" s="78" t="s">
        <v>2138</v>
      </c>
      <c r="C25" s="53" t="s">
        <v>23</v>
      </c>
      <c r="D25" s="79">
        <v>28</v>
      </c>
      <c r="E25" s="56">
        <v>12</v>
      </c>
      <c r="F25" s="56">
        <f t="shared" si="1"/>
        <v>336</v>
      </c>
      <c r="G25" s="146">
        <f t="shared" si="2"/>
        <v>57.120000000000005</v>
      </c>
      <c r="H25" s="125">
        <f t="shared" si="3"/>
        <v>14.04</v>
      </c>
      <c r="I25" s="56">
        <f t="shared" si="8"/>
        <v>393.12</v>
      </c>
      <c r="J25" s="83"/>
      <c r="N25" s="66"/>
    </row>
    <row r="26" spans="1:14" s="21" customFormat="1" ht="15.75" x14ac:dyDescent="0.25">
      <c r="A26" s="53">
        <f t="shared" si="4"/>
        <v>11</v>
      </c>
      <c r="B26" s="78" t="s">
        <v>2139</v>
      </c>
      <c r="C26" s="53" t="s">
        <v>23</v>
      </c>
      <c r="D26" s="79">
        <v>6</v>
      </c>
      <c r="E26" s="56">
        <v>180</v>
      </c>
      <c r="F26" s="56">
        <f t="shared" ref="F26:F28" si="9">D26*E26</f>
        <v>1080</v>
      </c>
      <c r="G26" s="146">
        <f t="shared" ref="G26:G28" si="10">F26*0.17</f>
        <v>183.60000000000002</v>
      </c>
      <c r="H26" s="125">
        <f t="shared" ref="H26:H28" si="11">E26*1.17</f>
        <v>210.6</v>
      </c>
      <c r="I26" s="56">
        <f t="shared" ref="I26:I28" si="12">H26*D26</f>
        <v>1263.5999999999999</v>
      </c>
      <c r="J26" s="83"/>
      <c r="N26" s="66"/>
    </row>
    <row r="27" spans="1:14" s="21" customFormat="1" ht="15.75" x14ac:dyDescent="0.25">
      <c r="A27" s="53">
        <f t="shared" si="4"/>
        <v>12</v>
      </c>
      <c r="B27" s="78" t="s">
        <v>2140</v>
      </c>
      <c r="C27" s="53" t="s">
        <v>23</v>
      </c>
      <c r="D27" s="79">
        <v>1</v>
      </c>
      <c r="E27" s="56">
        <v>335</v>
      </c>
      <c r="F27" s="56">
        <f t="shared" si="9"/>
        <v>335</v>
      </c>
      <c r="G27" s="146">
        <f t="shared" si="10"/>
        <v>56.95</v>
      </c>
      <c r="H27" s="125">
        <f t="shared" si="11"/>
        <v>391.95</v>
      </c>
      <c r="I27" s="56">
        <f t="shared" si="12"/>
        <v>391.95</v>
      </c>
      <c r="J27" s="83"/>
      <c r="N27" s="66"/>
    </row>
    <row r="28" spans="1:14" s="21" customFormat="1" ht="15.75" x14ac:dyDescent="0.25">
      <c r="A28" s="53">
        <f t="shared" si="4"/>
        <v>13</v>
      </c>
      <c r="B28" s="78" t="s">
        <v>2141</v>
      </c>
      <c r="C28" s="53" t="s">
        <v>23</v>
      </c>
      <c r="D28" s="79">
        <v>1</v>
      </c>
      <c r="E28" s="56">
        <v>90</v>
      </c>
      <c r="F28" s="56">
        <f t="shared" si="9"/>
        <v>90</v>
      </c>
      <c r="G28" s="146">
        <f t="shared" si="10"/>
        <v>15.3</v>
      </c>
      <c r="H28" s="125">
        <f t="shared" si="11"/>
        <v>105.3</v>
      </c>
      <c r="I28" s="56">
        <f t="shared" si="12"/>
        <v>105.3</v>
      </c>
      <c r="J28" s="83"/>
      <c r="N28" s="66"/>
    </row>
    <row r="29" spans="1:14" s="21" customFormat="1" ht="15.75" x14ac:dyDescent="0.25">
      <c r="A29" s="53">
        <f t="shared" si="4"/>
        <v>14</v>
      </c>
      <c r="B29" s="78" t="s">
        <v>2142</v>
      </c>
      <c r="C29" s="53" t="s">
        <v>23</v>
      </c>
      <c r="D29" s="79">
        <v>1</v>
      </c>
      <c r="E29" s="56">
        <v>350</v>
      </c>
      <c r="F29" s="56">
        <f t="shared" ref="F29:F31" si="13">D29*E29</f>
        <v>350</v>
      </c>
      <c r="G29" s="146">
        <f t="shared" ref="G29:G31" si="14">F29*0.17</f>
        <v>59.500000000000007</v>
      </c>
      <c r="H29" s="125">
        <f t="shared" ref="H29:H31" si="15">E29*1.17</f>
        <v>409.5</v>
      </c>
      <c r="I29" s="56">
        <f t="shared" si="0"/>
        <v>409.5</v>
      </c>
      <c r="J29" s="83"/>
      <c r="N29" s="66"/>
    </row>
    <row r="30" spans="1:14" s="21" customFormat="1" ht="15.75" x14ac:dyDescent="0.25">
      <c r="A30" s="53">
        <f t="shared" si="4"/>
        <v>15</v>
      </c>
      <c r="B30" s="78" t="s">
        <v>1967</v>
      </c>
      <c r="C30" s="53" t="s">
        <v>825</v>
      </c>
      <c r="D30" s="79">
        <v>2</v>
      </c>
      <c r="E30" s="56">
        <v>40</v>
      </c>
      <c r="F30" s="56">
        <f t="shared" si="13"/>
        <v>80</v>
      </c>
      <c r="G30" s="146">
        <f t="shared" si="14"/>
        <v>13.600000000000001</v>
      </c>
      <c r="H30" s="125">
        <f t="shared" si="15"/>
        <v>46.8</v>
      </c>
      <c r="I30" s="56">
        <f>H30*D30+1</f>
        <v>94.6</v>
      </c>
      <c r="J30" s="83"/>
      <c r="N30" s="66"/>
    </row>
    <row r="31" spans="1:14" s="21" customFormat="1" ht="15.75" x14ac:dyDescent="0.25">
      <c r="A31" s="53">
        <f t="shared" si="4"/>
        <v>16</v>
      </c>
      <c r="B31" s="78" t="s">
        <v>2143</v>
      </c>
      <c r="C31" s="53" t="s">
        <v>23</v>
      </c>
      <c r="D31" s="79">
        <v>10</v>
      </c>
      <c r="E31" s="56">
        <v>120</v>
      </c>
      <c r="F31" s="56">
        <f t="shared" si="13"/>
        <v>1200</v>
      </c>
      <c r="G31" s="146">
        <f t="shared" si="14"/>
        <v>204.00000000000003</v>
      </c>
      <c r="H31" s="125">
        <f t="shared" si="15"/>
        <v>140.39999999999998</v>
      </c>
      <c r="I31" s="56">
        <f>H31*D31+1</f>
        <v>1404.9999999999998</v>
      </c>
      <c r="J31" s="83"/>
      <c r="N31" s="66"/>
    </row>
    <row r="32" spans="1:14" s="21" customFormat="1" x14ac:dyDescent="0.25">
      <c r="A32" s="53"/>
      <c r="B32" s="47"/>
      <c r="C32" s="53"/>
      <c r="D32" s="79"/>
      <c r="E32" s="56"/>
      <c r="F32" s="56"/>
      <c r="G32" s="56"/>
      <c r="H32" s="57"/>
      <c r="I32" s="56"/>
      <c r="J32" s="58"/>
      <c r="N32" s="66"/>
    </row>
    <row r="33" spans="1:18" ht="15.75" thickBot="1" x14ac:dyDescent="0.3">
      <c r="A33" s="33"/>
      <c r="B33" s="34" t="s">
        <v>24</v>
      </c>
      <c r="C33" s="35"/>
      <c r="D33" s="62">
        <f>SUM(D16:D32)</f>
        <v>122</v>
      </c>
      <c r="E33" s="35"/>
      <c r="F33" s="62">
        <f>SUM(F16:F32)</f>
        <v>11845</v>
      </c>
      <c r="G33" s="62">
        <f>SUM(G16:G32)</f>
        <v>2013.65</v>
      </c>
      <c r="H33" s="35"/>
      <c r="I33" s="62">
        <f>SUM(I16:I32)</f>
        <v>13860.65</v>
      </c>
      <c r="J33" s="37"/>
    </row>
    <row r="34" spans="1:18" ht="15.75" thickTop="1" x14ac:dyDescent="0.25">
      <c r="A34" s="33"/>
      <c r="B34" s="34" t="s">
        <v>2144</v>
      </c>
      <c r="C34" s="35"/>
      <c r="D34" s="35"/>
      <c r="E34" s="35"/>
      <c r="F34" s="35"/>
      <c r="G34" s="35"/>
      <c r="H34" s="35"/>
      <c r="I34" s="35"/>
      <c r="J34" s="37"/>
    </row>
    <row r="35" spans="1:18" x14ac:dyDescent="0.25">
      <c r="A35" s="33"/>
      <c r="B35" s="38" t="s">
        <v>25</v>
      </c>
      <c r="C35" s="35"/>
      <c r="D35" s="35"/>
      <c r="E35" s="35"/>
      <c r="F35" s="35"/>
      <c r="G35" s="35"/>
      <c r="H35" s="35"/>
      <c r="I35" s="35"/>
      <c r="J35" s="37"/>
      <c r="M35" s="64"/>
      <c r="O35" s="65"/>
      <c r="P35" s="64"/>
      <c r="Q35" s="64"/>
      <c r="R35" s="64"/>
    </row>
    <row r="36" spans="1:18" ht="30" customHeight="1" x14ac:dyDescent="0.25">
      <c r="B36" s="183" t="s">
        <v>26</v>
      </c>
      <c r="C36" s="183"/>
      <c r="D36" s="183"/>
      <c r="E36" s="183"/>
      <c r="F36" s="183"/>
      <c r="G36" s="183"/>
      <c r="H36" s="183"/>
      <c r="I36" s="183"/>
      <c r="J36" s="183"/>
      <c r="P36" s="64"/>
      <c r="R36" s="65"/>
    </row>
    <row r="37" spans="1:18" x14ac:dyDescent="0.25">
      <c r="B37" t="s">
        <v>634</v>
      </c>
    </row>
    <row r="40" spans="1:18" x14ac:dyDescent="0.25">
      <c r="B40" t="s">
        <v>28</v>
      </c>
      <c r="H40" t="s">
        <v>28</v>
      </c>
    </row>
    <row r="41" spans="1:18" x14ac:dyDescent="0.25">
      <c r="B41" t="s">
        <v>29</v>
      </c>
      <c r="H41" t="s">
        <v>30</v>
      </c>
    </row>
  </sheetData>
  <autoFilter ref="A15:J37" xr:uid="{00000000-0009-0000-0000-000000000000}"/>
  <mergeCells count="5">
    <mergeCell ref="A6:J6"/>
    <mergeCell ref="I7:J7"/>
    <mergeCell ref="I8:J8"/>
    <mergeCell ref="I9:J9"/>
    <mergeCell ref="B36:J36"/>
  </mergeCells>
  <hyperlinks>
    <hyperlink ref="H5" r:id="rId1" xr:uid="{13C80A56-0B5D-4AB9-8295-31A319140284}"/>
  </hyperlinks>
  <pageMargins left="0.2" right="0.1" top="0.25" bottom="0.25" header="0.3" footer="0.3"/>
  <pageSetup paperSize="9" orientation="portrait" r:id="rId2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13E33-6AC3-4A00-9C6A-A8B0BD9538E8}">
  <dimension ref="A1:R26"/>
  <sheetViews>
    <sheetView topLeftCell="A4" workbookViewId="0">
      <selection activeCell="A18" sqref="A1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2116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2124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2125</v>
      </c>
      <c r="J9" s="188"/>
    </row>
    <row r="10" spans="1:15" x14ac:dyDescent="0.25">
      <c r="B10" t="s">
        <v>9</v>
      </c>
      <c r="C10" s="10" t="s">
        <v>754</v>
      </c>
      <c r="D10" s="10"/>
      <c r="E10" s="10"/>
      <c r="F10" s="10"/>
    </row>
    <row r="11" spans="1:15" x14ac:dyDescent="0.25">
      <c r="B11" t="s">
        <v>11</v>
      </c>
      <c r="C11" s="10" t="s">
        <v>755</v>
      </c>
      <c r="D11" s="11"/>
      <c r="E11" s="11"/>
      <c r="F11" s="11"/>
    </row>
    <row r="12" spans="1:15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25.5" x14ac:dyDescent="0.25">
      <c r="A16" s="53">
        <v>1</v>
      </c>
      <c r="B16" s="78" t="s">
        <v>2126</v>
      </c>
      <c r="C16" s="53" t="s">
        <v>23</v>
      </c>
      <c r="D16" s="79">
        <v>33</v>
      </c>
      <c r="E16" s="56">
        <v>132</v>
      </c>
      <c r="F16" s="56">
        <f>D16*E16</f>
        <v>4356</v>
      </c>
      <c r="G16" s="56">
        <f t="shared" ref="G16:G17" si="0">F16*0.17</f>
        <v>740.5200000000001</v>
      </c>
      <c r="H16" s="129">
        <f t="shared" ref="H16:H17" si="1">E16*1.17</f>
        <v>154.44</v>
      </c>
      <c r="I16" s="56">
        <f>H16*D16</f>
        <v>5096.5199999999995</v>
      </c>
      <c r="J16" s="83"/>
      <c r="L16" s="21" t="s">
        <v>1572</v>
      </c>
      <c r="M16" s="21">
        <f t="shared" ref="M16:M17" si="2">440*1.02</f>
        <v>448.8</v>
      </c>
      <c r="N16" s="66" t="e">
        <f>M16-#REF!</f>
        <v>#REF!</v>
      </c>
      <c r="O16" s="21" t="e">
        <f t="shared" ref="O16:O17" si="3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ref="F17" si="4">D17*E17</f>
        <v>0</v>
      </c>
      <c r="G17" s="56">
        <f t="shared" si="0"/>
        <v>0</v>
      </c>
      <c r="H17" s="129">
        <f t="shared" si="1"/>
        <v>0</v>
      </c>
      <c r="I17" s="56">
        <f t="shared" ref="I17" si="5">H17*D17</f>
        <v>0</v>
      </c>
      <c r="J17" s="58"/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33</v>
      </c>
      <c r="E18" s="35"/>
      <c r="F18" s="62">
        <f>SUM(F16:F17)</f>
        <v>4356</v>
      </c>
      <c r="G18" s="62">
        <f>SUM(G16:G17)</f>
        <v>740.5200000000001</v>
      </c>
      <c r="H18" s="35"/>
      <c r="I18" s="62">
        <f>SUM(I16:I17)</f>
        <v>5096.5199999999995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2127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1CF9D099-0B92-420E-A6E7-1BBBC924620A}"/>
  </hyperlinks>
  <pageMargins left="0.2" right="0.1" top="0.25" bottom="0.25" header="0.3" footer="0.3"/>
  <pageSetup paperSize="9" orientation="portrait" r:id="rId2"/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45ECE-03BD-4237-9ED6-D6CAF0E92492}">
  <dimension ref="A1:R26"/>
  <sheetViews>
    <sheetView workbookViewId="0">
      <selection activeCell="A17" sqref="A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2116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2120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2121</v>
      </c>
      <c r="J9" s="188"/>
    </row>
    <row r="10" spans="1:15" x14ac:dyDescent="0.25">
      <c r="B10" t="s">
        <v>9</v>
      </c>
      <c r="C10" s="10" t="s">
        <v>754</v>
      </c>
      <c r="D10" s="10"/>
      <c r="E10" s="10"/>
      <c r="F10" s="10"/>
    </row>
    <row r="11" spans="1:15" x14ac:dyDescent="0.25">
      <c r="B11" t="s">
        <v>11</v>
      </c>
      <c r="C11" s="10" t="s">
        <v>755</v>
      </c>
      <c r="D11" s="11"/>
      <c r="E11" s="11"/>
      <c r="F11" s="11"/>
    </row>
    <row r="12" spans="1:15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2122</v>
      </c>
      <c r="C16" s="53" t="s">
        <v>23</v>
      </c>
      <c r="D16" s="79">
        <v>100</v>
      </c>
      <c r="E16" s="56">
        <v>48</v>
      </c>
      <c r="F16" s="56">
        <f>D16*E16</f>
        <v>4800</v>
      </c>
      <c r="G16" s="56">
        <f t="shared" ref="G16:G17" si="0">F16*0.17</f>
        <v>816.00000000000011</v>
      </c>
      <c r="H16" s="129">
        <f t="shared" ref="H16:H17" si="1">E16*1.17</f>
        <v>56.16</v>
      </c>
      <c r="I16" s="56">
        <f>H16*D16</f>
        <v>5616</v>
      </c>
      <c r="J16" s="83"/>
      <c r="L16" s="21" t="s">
        <v>1572</v>
      </c>
      <c r="M16" s="21">
        <f t="shared" ref="M16:M17" si="2">440*1.02</f>
        <v>448.8</v>
      </c>
      <c r="N16" s="66" t="e">
        <f>M16-#REF!</f>
        <v>#REF!</v>
      </c>
      <c r="O16" s="21" t="e">
        <f t="shared" ref="O16:O17" si="3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ref="F17" si="4">D17*E17</f>
        <v>0</v>
      </c>
      <c r="G17" s="56">
        <f t="shared" si="0"/>
        <v>0</v>
      </c>
      <c r="H17" s="129">
        <f t="shared" si="1"/>
        <v>0</v>
      </c>
      <c r="I17" s="56">
        <f t="shared" ref="I17" si="5">H17*D17</f>
        <v>0</v>
      </c>
      <c r="J17" s="58"/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100</v>
      </c>
      <c r="E18" s="35"/>
      <c r="F18" s="62">
        <f>SUM(F16:F17)</f>
        <v>4800</v>
      </c>
      <c r="G18" s="62">
        <f>SUM(G16:G17)</f>
        <v>816.00000000000011</v>
      </c>
      <c r="H18" s="35"/>
      <c r="I18" s="62">
        <f>SUM(I16:I17)</f>
        <v>5616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2123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A14E3D98-D57D-4568-A331-0CF5DDC22501}"/>
  </hyperlinks>
  <pageMargins left="0.2" right="0.1" top="0.25" bottom="0.25" header="0.3" footer="0.3"/>
  <pageSetup paperSize="9" orientation="portrait" r:id="rId2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23401-83F5-45A4-AA62-5AD4BAD3F4E2}">
  <dimension ref="A1:R26"/>
  <sheetViews>
    <sheetView topLeftCell="A7" workbookViewId="0">
      <selection activeCell="I23" sqref="I2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2116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2115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2119</v>
      </c>
      <c r="J9" s="188"/>
    </row>
    <row r="10" spans="1:15" x14ac:dyDescent="0.25">
      <c r="B10" t="s">
        <v>9</v>
      </c>
      <c r="C10" s="10" t="s">
        <v>754</v>
      </c>
      <c r="D10" s="10"/>
      <c r="E10" s="10"/>
      <c r="F10" s="10"/>
    </row>
    <row r="11" spans="1:15" x14ac:dyDescent="0.25">
      <c r="B11" t="s">
        <v>11</v>
      </c>
      <c r="C11" s="10" t="s">
        <v>755</v>
      </c>
      <c r="D11" s="11"/>
      <c r="E11" s="11"/>
      <c r="F11" s="11"/>
    </row>
    <row r="12" spans="1:15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2117</v>
      </c>
      <c r="C16" s="53" t="s">
        <v>23</v>
      </c>
      <c r="D16" s="79">
        <v>4</v>
      </c>
      <c r="E16" s="56">
        <v>44</v>
      </c>
      <c r="F16" s="56">
        <f>D16*E16</f>
        <v>176</v>
      </c>
      <c r="G16" s="56">
        <f t="shared" ref="G16:G17" si="0">F16*0.17</f>
        <v>29.92</v>
      </c>
      <c r="H16" s="129">
        <f t="shared" ref="H16:H17" si="1">E16*1.17</f>
        <v>51.48</v>
      </c>
      <c r="I16" s="56">
        <f>H16*D16</f>
        <v>205.92</v>
      </c>
      <c r="J16" s="83"/>
      <c r="L16" s="21" t="s">
        <v>1572</v>
      </c>
      <c r="M16" s="21">
        <f t="shared" ref="M16:M17" si="2">440*1.02</f>
        <v>448.8</v>
      </c>
      <c r="N16" s="66" t="e">
        <f>M16-#REF!</f>
        <v>#REF!</v>
      </c>
      <c r="O16" s="21" t="e">
        <f t="shared" ref="O16:O17" si="3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ref="F17" si="4">D17*E17</f>
        <v>0</v>
      </c>
      <c r="G17" s="56">
        <f t="shared" si="0"/>
        <v>0</v>
      </c>
      <c r="H17" s="129">
        <f t="shared" si="1"/>
        <v>0</v>
      </c>
      <c r="I17" s="56">
        <f t="shared" ref="I17" si="5">H17*D17</f>
        <v>0</v>
      </c>
      <c r="J17" s="58"/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4</v>
      </c>
      <c r="E18" s="35"/>
      <c r="F18" s="62">
        <f>SUM(F16:F17)</f>
        <v>176</v>
      </c>
      <c r="G18" s="62">
        <f>SUM(G16:G17)</f>
        <v>29.92</v>
      </c>
      <c r="H18" s="35"/>
      <c r="I18" s="62">
        <f>SUM(I16:I17)</f>
        <v>205.92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2118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7C0644C1-2564-4194-9CCE-AD8C9B09140D}"/>
  </hyperlinks>
  <pageMargins left="0.2" right="0.1" top="0.25" bottom="0.25" header="0.3" footer="0.3"/>
  <pageSetup paperSize="9" orientation="portrait" r:id="rId2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A58C-59C4-4DC3-A0EF-44DF5A492334}">
  <dimension ref="A1:R27"/>
  <sheetViews>
    <sheetView workbookViewId="0">
      <selection activeCell="A6" sqref="A6:J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2092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2083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2093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2101</v>
      </c>
      <c r="C16" s="53" t="s">
        <v>987</v>
      </c>
      <c r="D16" s="79">
        <v>156</v>
      </c>
      <c r="E16" s="85">
        <f>F16/D16</f>
        <v>92.948717948717942</v>
      </c>
      <c r="F16" s="56">
        <v>14500</v>
      </c>
      <c r="G16" s="56">
        <f>F16*0.17</f>
        <v>2465</v>
      </c>
      <c r="H16" s="85">
        <f>E16*1.17</f>
        <v>108.74999999999999</v>
      </c>
      <c r="I16" s="56">
        <f t="shared" ref="I16:I17" si="0">H16*D16</f>
        <v>16964.999999999996</v>
      </c>
      <c r="J16" s="83"/>
      <c r="N16" s="66"/>
    </row>
    <row r="17" spans="1:18" s="21" customFormat="1" ht="15.75" x14ac:dyDescent="0.25">
      <c r="A17" s="53">
        <v>2</v>
      </c>
      <c r="B17" s="78" t="s">
        <v>2102</v>
      </c>
      <c r="C17" s="53" t="s">
        <v>987</v>
      </c>
      <c r="D17" s="79">
        <v>540</v>
      </c>
      <c r="E17" s="85">
        <f>F17/D17</f>
        <v>8.9629629629629637</v>
      </c>
      <c r="F17" s="56">
        <v>4840</v>
      </c>
      <c r="G17" s="56">
        <f>F17*0</f>
        <v>0</v>
      </c>
      <c r="H17" s="85">
        <f>E17*1</f>
        <v>8.9629629629629637</v>
      </c>
      <c r="I17" s="56">
        <f t="shared" si="0"/>
        <v>4840</v>
      </c>
      <c r="J17" s="83"/>
      <c r="N17" s="66"/>
    </row>
    <row r="18" spans="1:18" s="21" customFormat="1" x14ac:dyDescent="0.25">
      <c r="A18" s="53"/>
      <c r="B18" s="47"/>
      <c r="C18" s="53"/>
      <c r="D18" s="79"/>
      <c r="E18" s="56"/>
      <c r="F18" s="56"/>
      <c r="G18" s="56"/>
      <c r="H18" s="57"/>
      <c r="I18" s="56"/>
      <c r="J18" s="58"/>
      <c r="N18" s="66"/>
    </row>
    <row r="19" spans="1:18" ht="15.75" thickBot="1" x14ac:dyDescent="0.3">
      <c r="A19" s="33"/>
      <c r="B19" s="34" t="s">
        <v>24</v>
      </c>
      <c r="C19" s="35"/>
      <c r="D19" s="62">
        <f>SUM(D16:D18)</f>
        <v>696</v>
      </c>
      <c r="E19" s="35"/>
      <c r="F19" s="62">
        <f>SUM(F16:F18)</f>
        <v>19340</v>
      </c>
      <c r="G19" s="62">
        <f>SUM(G16:G18)</f>
        <v>2465</v>
      </c>
      <c r="H19" s="35"/>
      <c r="I19" s="62">
        <f>SUM(I16:I18)</f>
        <v>21804.999999999996</v>
      </c>
      <c r="J19" s="37"/>
    </row>
    <row r="20" spans="1:18" ht="15.75" thickTop="1" x14ac:dyDescent="0.25">
      <c r="A20" s="33"/>
      <c r="B20" s="34" t="s">
        <v>2099</v>
      </c>
      <c r="C20" s="35"/>
      <c r="D20" s="35"/>
      <c r="E20" s="35"/>
      <c r="F20" s="35"/>
      <c r="G20" s="35"/>
      <c r="H20" s="35"/>
      <c r="I20" s="35"/>
      <c r="J20" s="37"/>
    </row>
    <row r="21" spans="1:18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  <c r="M21" s="64"/>
      <c r="O21" s="65"/>
      <c r="P21" s="64"/>
      <c r="Q21" s="64"/>
      <c r="R21" s="64"/>
    </row>
    <row r="22" spans="1:18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  <c r="P22" s="64"/>
      <c r="R22" s="65"/>
    </row>
    <row r="23" spans="1:18" x14ac:dyDescent="0.25">
      <c r="B23" t="s">
        <v>634</v>
      </c>
    </row>
    <row r="26" spans="1:18" x14ac:dyDescent="0.25">
      <c r="B26" t="s">
        <v>28</v>
      </c>
      <c r="H26" t="s">
        <v>28</v>
      </c>
    </row>
    <row r="27" spans="1:18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244321EF-AE6C-471F-91CF-BAD3E7F5A6EC}"/>
  </hyperlinks>
  <pageMargins left="0.2" right="0.1" top="0.25" bottom="0.25" header="0.3" footer="0.3"/>
  <pageSetup paperSize="9" orientation="portrait" r:id="rId2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3AF84-224F-48D1-B2F2-A808878392EF}">
  <dimension ref="A1:R34"/>
  <sheetViews>
    <sheetView workbookViewId="0">
      <selection activeCell="A8" sqref="A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2100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2092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2083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2093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2094</v>
      </c>
      <c r="C16" s="53" t="s">
        <v>987</v>
      </c>
      <c r="D16" s="79">
        <v>20</v>
      </c>
      <c r="E16" s="56">
        <v>7</v>
      </c>
      <c r="F16" s="56">
        <f t="shared" ref="F16:F24" si="0">D16*E16</f>
        <v>140</v>
      </c>
      <c r="G16" s="56">
        <f>F16*0</f>
        <v>0</v>
      </c>
      <c r="H16" s="125">
        <f>E16*1</f>
        <v>7</v>
      </c>
      <c r="I16" s="56">
        <f t="shared" ref="I16:I24" si="1">H16*D16</f>
        <v>140</v>
      </c>
      <c r="J16" s="83"/>
      <c r="N16" s="66"/>
    </row>
    <row r="17" spans="1:18" s="21" customFormat="1" ht="15.75" x14ac:dyDescent="0.25">
      <c r="A17" s="53">
        <v>2</v>
      </c>
      <c r="B17" s="78" t="s">
        <v>2095</v>
      </c>
      <c r="C17" s="53" t="s">
        <v>987</v>
      </c>
      <c r="D17" s="79">
        <v>10</v>
      </c>
      <c r="E17" s="56">
        <v>60</v>
      </c>
      <c r="F17" s="56">
        <f t="shared" si="0"/>
        <v>600</v>
      </c>
      <c r="G17" s="56">
        <f t="shared" ref="G17:G18" si="2">F17*0</f>
        <v>0</v>
      </c>
      <c r="H17" s="125">
        <f t="shared" ref="H17:H18" si="3">E17*1</f>
        <v>60</v>
      </c>
      <c r="I17" s="56">
        <f t="shared" si="1"/>
        <v>600</v>
      </c>
      <c r="J17" s="83"/>
      <c r="N17" s="66"/>
    </row>
    <row r="18" spans="1:18" s="21" customFormat="1" ht="15.75" x14ac:dyDescent="0.25">
      <c r="A18" s="53">
        <v>3</v>
      </c>
      <c r="B18" s="78" t="s">
        <v>2062</v>
      </c>
      <c r="C18" s="53" t="s">
        <v>987</v>
      </c>
      <c r="D18" s="79">
        <v>10</v>
      </c>
      <c r="E18" s="56">
        <v>60</v>
      </c>
      <c r="F18" s="56">
        <f t="shared" si="0"/>
        <v>600</v>
      </c>
      <c r="G18" s="56">
        <f t="shared" si="2"/>
        <v>0</v>
      </c>
      <c r="H18" s="125">
        <f t="shared" si="3"/>
        <v>60</v>
      </c>
      <c r="I18" s="56">
        <f t="shared" si="1"/>
        <v>600</v>
      </c>
      <c r="J18" s="83"/>
      <c r="N18" s="66"/>
    </row>
    <row r="19" spans="1:18" s="21" customFormat="1" ht="15.75" x14ac:dyDescent="0.25">
      <c r="A19" s="53">
        <v>4</v>
      </c>
      <c r="B19" s="78" t="s">
        <v>1435</v>
      </c>
      <c r="C19" s="53" t="s">
        <v>987</v>
      </c>
      <c r="D19" s="79">
        <v>6</v>
      </c>
      <c r="E19" s="56">
        <v>250</v>
      </c>
      <c r="F19" s="56">
        <f t="shared" si="0"/>
        <v>1500</v>
      </c>
      <c r="G19" s="56">
        <f>F19*0.17</f>
        <v>255.00000000000003</v>
      </c>
      <c r="H19" s="125">
        <f>E19*1.17</f>
        <v>292.5</v>
      </c>
      <c r="I19" s="56">
        <f t="shared" ref="I19:I21" si="4">H19*D19</f>
        <v>1755</v>
      </c>
      <c r="J19" s="83"/>
      <c r="N19" s="66"/>
    </row>
    <row r="20" spans="1:18" s="21" customFormat="1" ht="15.75" x14ac:dyDescent="0.25">
      <c r="A20" s="53">
        <v>5</v>
      </c>
      <c r="B20" s="78" t="s">
        <v>2096</v>
      </c>
      <c r="C20" s="53" t="s">
        <v>987</v>
      </c>
      <c r="D20" s="79">
        <v>25</v>
      </c>
      <c r="E20" s="56">
        <v>85</v>
      </c>
      <c r="F20" s="56">
        <f t="shared" si="0"/>
        <v>2125</v>
      </c>
      <c r="G20" s="56">
        <f>F20*0.17</f>
        <v>361.25</v>
      </c>
      <c r="H20" s="125">
        <f>E20*1.17</f>
        <v>99.449999999999989</v>
      </c>
      <c r="I20" s="56">
        <f t="shared" si="4"/>
        <v>2486.2499999999995</v>
      </c>
      <c r="J20" s="83"/>
      <c r="N20" s="66"/>
    </row>
    <row r="21" spans="1:18" s="21" customFormat="1" ht="15.75" x14ac:dyDescent="0.25">
      <c r="A21" s="53">
        <v>6</v>
      </c>
      <c r="B21" s="78" t="s">
        <v>2097</v>
      </c>
      <c r="C21" s="53" t="s">
        <v>987</v>
      </c>
      <c r="D21" s="79">
        <v>500</v>
      </c>
      <c r="E21" s="56">
        <v>7</v>
      </c>
      <c r="F21" s="56">
        <f t="shared" si="0"/>
        <v>3500</v>
      </c>
      <c r="G21" s="56">
        <f t="shared" ref="G21" si="5">F21*0</f>
        <v>0</v>
      </c>
      <c r="H21" s="125">
        <f t="shared" ref="H21" si="6">E21*1</f>
        <v>7</v>
      </c>
      <c r="I21" s="56">
        <f t="shared" si="4"/>
        <v>3500</v>
      </c>
      <c r="J21" s="83"/>
      <c r="N21" s="66"/>
    </row>
    <row r="22" spans="1:18" s="21" customFormat="1" ht="15.75" x14ac:dyDescent="0.25">
      <c r="A22" s="53">
        <v>7</v>
      </c>
      <c r="B22" s="78" t="s">
        <v>1369</v>
      </c>
      <c r="C22" s="53" t="s">
        <v>987</v>
      </c>
      <c r="D22" s="79">
        <v>25</v>
      </c>
      <c r="E22" s="56">
        <v>125</v>
      </c>
      <c r="F22" s="56">
        <f t="shared" si="0"/>
        <v>3125</v>
      </c>
      <c r="G22" s="56">
        <f>F22*0.17</f>
        <v>531.25</v>
      </c>
      <c r="H22" s="125">
        <f>E22*1.17</f>
        <v>146.25</v>
      </c>
      <c r="I22" s="56">
        <f t="shared" si="1"/>
        <v>3656.25</v>
      </c>
      <c r="J22" s="83"/>
      <c r="N22" s="66"/>
    </row>
    <row r="23" spans="1:18" s="21" customFormat="1" ht="15.75" x14ac:dyDescent="0.25">
      <c r="A23" s="53">
        <v>8</v>
      </c>
      <c r="B23" s="78" t="s">
        <v>2098</v>
      </c>
      <c r="C23" s="53" t="s">
        <v>987</v>
      </c>
      <c r="D23" s="79">
        <v>50</v>
      </c>
      <c r="E23" s="56">
        <v>65</v>
      </c>
      <c r="F23" s="56">
        <f t="shared" si="0"/>
        <v>3250</v>
      </c>
      <c r="G23" s="56">
        <f>F23*0.17</f>
        <v>552.5</v>
      </c>
      <c r="H23" s="125">
        <f>E23*1.17</f>
        <v>76.05</v>
      </c>
      <c r="I23" s="56">
        <f t="shared" si="1"/>
        <v>3802.5</v>
      </c>
      <c r="J23" s="83"/>
      <c r="N23" s="66"/>
    </row>
    <row r="24" spans="1:18" s="21" customFormat="1" ht="15.75" x14ac:dyDescent="0.25">
      <c r="A24" s="53">
        <v>9</v>
      </c>
      <c r="B24" s="78" t="s">
        <v>417</v>
      </c>
      <c r="C24" s="53" t="s">
        <v>987</v>
      </c>
      <c r="D24" s="79">
        <v>50</v>
      </c>
      <c r="E24" s="56">
        <v>90</v>
      </c>
      <c r="F24" s="56">
        <f t="shared" si="0"/>
        <v>4500</v>
      </c>
      <c r="G24" s="56">
        <f>F24*0.17</f>
        <v>765</v>
      </c>
      <c r="H24" s="125">
        <f>E24*1.17</f>
        <v>105.3</v>
      </c>
      <c r="I24" s="56">
        <f t="shared" si="1"/>
        <v>5265</v>
      </c>
      <c r="J24" s="83"/>
      <c r="N24" s="66"/>
    </row>
    <row r="25" spans="1:18" s="21" customFormat="1" x14ac:dyDescent="0.25">
      <c r="A25" s="53"/>
      <c r="B25" s="47"/>
      <c r="C25" s="53"/>
      <c r="D25" s="79"/>
      <c r="E25" s="56"/>
      <c r="F25" s="56"/>
      <c r="G25" s="56"/>
      <c r="H25" s="57"/>
      <c r="I25" s="56"/>
      <c r="J25" s="58"/>
      <c r="N25" s="66"/>
    </row>
    <row r="26" spans="1:18" ht="15.75" thickBot="1" x14ac:dyDescent="0.3">
      <c r="A26" s="33"/>
      <c r="B26" s="34" t="s">
        <v>24</v>
      </c>
      <c r="C26" s="35"/>
      <c r="D26" s="62">
        <f>SUM(D16:D25)</f>
        <v>696</v>
      </c>
      <c r="E26" s="35"/>
      <c r="F26" s="62">
        <f>SUM(F16:F25)</f>
        <v>19340</v>
      </c>
      <c r="G26" s="62">
        <f>SUM(G16:G25)</f>
        <v>2465</v>
      </c>
      <c r="H26" s="35"/>
      <c r="I26" s="62">
        <f>SUM(I16:I25)</f>
        <v>21805</v>
      </c>
      <c r="J26" s="37"/>
    </row>
    <row r="27" spans="1:18" ht="15.75" thickTop="1" x14ac:dyDescent="0.25">
      <c r="A27" s="33"/>
      <c r="B27" s="34" t="s">
        <v>2099</v>
      </c>
      <c r="C27" s="35"/>
      <c r="D27" s="35"/>
      <c r="E27" s="35"/>
      <c r="F27" s="35"/>
      <c r="G27" s="35"/>
      <c r="H27" s="35"/>
      <c r="I27" s="35"/>
      <c r="J27" s="37"/>
    </row>
    <row r="28" spans="1:18" x14ac:dyDescent="0.25">
      <c r="A28" s="33"/>
      <c r="B28" s="38" t="s">
        <v>25</v>
      </c>
      <c r="C28" s="35"/>
      <c r="D28" s="35"/>
      <c r="E28" s="35"/>
      <c r="F28" s="35"/>
      <c r="G28" s="35"/>
      <c r="H28" s="35"/>
      <c r="I28" s="35"/>
      <c r="J28" s="37"/>
      <c r="M28" s="64"/>
      <c r="O28" s="65"/>
      <c r="P28" s="64"/>
      <c r="Q28" s="64"/>
      <c r="R28" s="64"/>
    </row>
    <row r="29" spans="1:18" ht="30" customHeight="1" x14ac:dyDescent="0.25">
      <c r="B29" s="183" t="s">
        <v>26</v>
      </c>
      <c r="C29" s="183"/>
      <c r="D29" s="183"/>
      <c r="E29" s="183"/>
      <c r="F29" s="183"/>
      <c r="G29" s="183"/>
      <c r="H29" s="183"/>
      <c r="I29" s="183"/>
      <c r="J29" s="183"/>
      <c r="P29" s="64"/>
      <c r="R29" s="65"/>
    </row>
    <row r="30" spans="1:18" x14ac:dyDescent="0.25">
      <c r="B30" t="s">
        <v>634</v>
      </c>
    </row>
    <row r="33" spans="2:8" x14ac:dyDescent="0.25">
      <c r="B33" t="s">
        <v>28</v>
      </c>
      <c r="H33" t="s">
        <v>28</v>
      </c>
    </row>
    <row r="34" spans="2:8" x14ac:dyDescent="0.25">
      <c r="B34" t="s">
        <v>29</v>
      </c>
      <c r="H34" t="s">
        <v>30</v>
      </c>
    </row>
  </sheetData>
  <autoFilter ref="A15:J30" xr:uid="{00000000-0009-0000-0000-000000000000}"/>
  <mergeCells count="5">
    <mergeCell ref="A6:J6"/>
    <mergeCell ref="I7:J7"/>
    <mergeCell ref="I8:J8"/>
    <mergeCell ref="I9:J9"/>
    <mergeCell ref="B29:J29"/>
  </mergeCells>
  <hyperlinks>
    <hyperlink ref="H5" r:id="rId1" xr:uid="{C24E9D5E-F900-4CCF-A156-30137E2B945D}"/>
  </hyperlinks>
  <pageMargins left="0.2" right="0.1" top="0.25" bottom="0.25" header="0.3" footer="0.3"/>
  <pageSetup paperSize="9" orientation="portrait" r:id="rId2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13E94-15C4-4867-B516-4404199E5D94}">
  <dimension ref="A1:R27"/>
  <sheetViews>
    <sheetView workbookViewId="0">
      <selection activeCell="A4" sqref="A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2085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2084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2086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2101</v>
      </c>
      <c r="C16" s="53" t="s">
        <v>987</v>
      </c>
      <c r="D16" s="79">
        <v>72</v>
      </c>
      <c r="E16" s="85">
        <f>F16/D16</f>
        <v>135</v>
      </c>
      <c r="F16" s="56">
        <v>9720</v>
      </c>
      <c r="G16" s="56">
        <f>F16*0.17</f>
        <v>1652.4</v>
      </c>
      <c r="H16" s="85">
        <f>E16*1.17</f>
        <v>157.94999999999999</v>
      </c>
      <c r="I16" s="56">
        <f t="shared" ref="I16:I17" si="0">H16*D16</f>
        <v>11372.4</v>
      </c>
      <c r="J16" s="83"/>
      <c r="N16" s="66"/>
    </row>
    <row r="17" spans="1:18" s="21" customFormat="1" ht="15.75" x14ac:dyDescent="0.25">
      <c r="A17" s="53">
        <v>2</v>
      </c>
      <c r="B17" s="78" t="s">
        <v>2102</v>
      </c>
      <c r="C17" s="53" t="s">
        <v>987</v>
      </c>
      <c r="D17" s="79">
        <v>2450</v>
      </c>
      <c r="E17" s="85">
        <f>F17/D17</f>
        <v>7.7240816326530615</v>
      </c>
      <c r="F17" s="56">
        <v>18924</v>
      </c>
      <c r="G17" s="56">
        <f>F17*0</f>
        <v>0</v>
      </c>
      <c r="H17" s="85">
        <f>E17*1</f>
        <v>7.7240816326530615</v>
      </c>
      <c r="I17" s="56">
        <f t="shared" si="0"/>
        <v>18924</v>
      </c>
      <c r="J17" s="83"/>
      <c r="N17" s="66"/>
    </row>
    <row r="18" spans="1:18" s="21" customFormat="1" x14ac:dyDescent="0.25">
      <c r="A18" s="53"/>
      <c r="B18" s="47"/>
      <c r="C18" s="53"/>
      <c r="D18" s="79"/>
      <c r="E18" s="56"/>
      <c r="F18" s="56"/>
      <c r="G18" s="56"/>
      <c r="H18" s="57"/>
      <c r="I18" s="56"/>
      <c r="J18" s="58"/>
      <c r="N18" s="66"/>
    </row>
    <row r="19" spans="1:18" ht="15.75" thickBot="1" x14ac:dyDescent="0.3">
      <c r="A19" s="33"/>
      <c r="B19" s="34" t="s">
        <v>24</v>
      </c>
      <c r="C19" s="35"/>
      <c r="D19" s="62">
        <f>SUM(D16:D18)</f>
        <v>2522</v>
      </c>
      <c r="E19" s="35"/>
      <c r="F19" s="62">
        <f>SUM(F16:F18)</f>
        <v>28644</v>
      </c>
      <c r="G19" s="62">
        <f>SUM(G16:G18)</f>
        <v>1652.4</v>
      </c>
      <c r="H19" s="35"/>
      <c r="I19" s="62">
        <f>SUM(I16:I18)</f>
        <v>30296.400000000001</v>
      </c>
      <c r="J19" s="37"/>
    </row>
    <row r="20" spans="1:18" ht="15.75" thickTop="1" x14ac:dyDescent="0.25">
      <c r="A20" s="33"/>
      <c r="B20" s="34" t="s">
        <v>2091</v>
      </c>
      <c r="C20" s="35"/>
      <c r="D20" s="35"/>
      <c r="E20" s="35"/>
      <c r="F20" s="35"/>
      <c r="G20" s="35"/>
      <c r="H20" s="35"/>
      <c r="I20" s="35"/>
      <c r="J20" s="37"/>
    </row>
    <row r="21" spans="1:18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  <c r="M21" s="64"/>
      <c r="O21" s="65"/>
      <c r="P21" s="64"/>
      <c r="Q21" s="64"/>
      <c r="R21" s="64"/>
    </row>
    <row r="22" spans="1:18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  <c r="P22" s="64"/>
      <c r="R22" s="65"/>
    </row>
    <row r="23" spans="1:18" x14ac:dyDescent="0.25">
      <c r="B23" t="s">
        <v>634</v>
      </c>
    </row>
    <row r="26" spans="1:18" x14ac:dyDescent="0.25">
      <c r="B26" t="s">
        <v>28</v>
      </c>
      <c r="H26" t="s">
        <v>28</v>
      </c>
    </row>
    <row r="27" spans="1:18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9C123F02-049C-4C01-8314-AEB191066DF5}"/>
  </hyperlinks>
  <pageMargins left="0.2" right="0.1" top="0.25" bottom="0.2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15A07-EADB-4833-B590-487063F05F07}">
  <dimension ref="A1:R26"/>
  <sheetViews>
    <sheetView workbookViewId="0"/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2312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2313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2329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2330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2325</v>
      </c>
      <c r="J9" s="188"/>
    </row>
    <row r="10" spans="1:14" x14ac:dyDescent="0.25">
      <c r="B10" t="s">
        <v>9</v>
      </c>
      <c r="C10" s="139" t="s">
        <v>2331</v>
      </c>
      <c r="D10" s="10"/>
      <c r="E10" s="10"/>
      <c r="F10" s="10"/>
    </row>
    <row r="11" spans="1:14" x14ac:dyDescent="0.25">
      <c r="B11" t="s">
        <v>11</v>
      </c>
      <c r="C11" s="132" t="s">
        <v>2332</v>
      </c>
      <c r="D11" s="11"/>
      <c r="E11" s="11"/>
      <c r="F11" s="11"/>
    </row>
    <row r="12" spans="1:14" x14ac:dyDescent="0.25">
      <c r="A12" s="12"/>
      <c r="B12" s="13"/>
      <c r="C12" s="140" t="s">
        <v>2333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189" t="s">
        <v>14</v>
      </c>
      <c r="C15" s="189"/>
      <c r="D15" s="76" t="s">
        <v>15</v>
      </c>
      <c r="E15" s="76" t="s">
        <v>16</v>
      </c>
      <c r="F15" s="76" t="s">
        <v>18</v>
      </c>
      <c r="G15" s="76" t="s">
        <v>1083</v>
      </c>
      <c r="H15" s="76" t="s">
        <v>21</v>
      </c>
      <c r="I15" s="190" t="s">
        <v>22</v>
      </c>
      <c r="J15" s="191"/>
    </row>
    <row r="16" spans="1:14" s="21" customFormat="1" ht="15.75" customHeight="1" x14ac:dyDescent="0.25">
      <c r="A16" s="53">
        <v>1</v>
      </c>
      <c r="B16" s="180" t="s">
        <v>2318</v>
      </c>
      <c r="C16" s="180"/>
      <c r="D16" s="53" t="s">
        <v>23</v>
      </c>
      <c r="E16" s="79">
        <v>1</v>
      </c>
      <c r="F16" s="56">
        <v>11750</v>
      </c>
      <c r="G16" s="149">
        <f>F16*0.17</f>
        <v>1997.5000000000002</v>
      </c>
      <c r="H16" s="56">
        <f>F16+G16</f>
        <v>13747.5</v>
      </c>
      <c r="I16" s="178"/>
      <c r="J16" s="179"/>
      <c r="N16" s="66"/>
    </row>
    <row r="17" spans="1:18" s="21" customFormat="1" ht="15.75" customHeight="1" x14ac:dyDescent="0.25">
      <c r="A17" s="53"/>
      <c r="B17" s="181"/>
      <c r="C17" s="182"/>
      <c r="D17" s="79"/>
      <c r="E17" s="56"/>
      <c r="F17" s="56"/>
      <c r="G17" s="149"/>
      <c r="H17" s="85"/>
      <c r="I17" s="178"/>
      <c r="J17" s="179"/>
      <c r="N17" s="66"/>
    </row>
    <row r="18" spans="1:18" ht="15.75" thickBot="1" x14ac:dyDescent="0.3">
      <c r="A18" s="33"/>
      <c r="B18" s="34" t="s">
        <v>24</v>
      </c>
      <c r="C18" s="35"/>
      <c r="E18" s="62">
        <f>SUM(E16:E17)</f>
        <v>1</v>
      </c>
      <c r="F18" s="62">
        <f>SUM(F16:F17)</f>
        <v>11750</v>
      </c>
      <c r="G18" s="62">
        <f>SUM(G16:G17)</f>
        <v>1997.5000000000002</v>
      </c>
      <c r="H18" s="62">
        <f>SUM(H16:H17)</f>
        <v>13747.5</v>
      </c>
      <c r="J18" s="37"/>
    </row>
    <row r="19" spans="1:18" ht="15.75" thickTop="1" x14ac:dyDescent="0.25">
      <c r="A19" s="33"/>
      <c r="B19" s="34" t="s">
        <v>2334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11">
    <mergeCell ref="B16:C16"/>
    <mergeCell ref="I16:J16"/>
    <mergeCell ref="B17:C17"/>
    <mergeCell ref="I17:J17"/>
    <mergeCell ref="B21:J21"/>
    <mergeCell ref="A6:J6"/>
    <mergeCell ref="I7:J7"/>
    <mergeCell ref="I8:J8"/>
    <mergeCell ref="I9:J9"/>
    <mergeCell ref="B15:C15"/>
    <mergeCell ref="I15:J15"/>
  </mergeCells>
  <hyperlinks>
    <hyperlink ref="H5" r:id="rId1" xr:uid="{82EC74F4-9EC8-4A2C-94AC-9ECEDAE3952E}"/>
  </hyperlinks>
  <pageMargins left="0.2" right="0.1" top="0.25" bottom="0.25" header="0.3" footer="0.3"/>
  <pageSetup paperSize="9" orientation="portrait" r:id="rId2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97E2A-BDCE-4C8A-BD0B-12C1B65AE29C}">
  <dimension ref="A1:R33"/>
  <sheetViews>
    <sheetView topLeftCell="A9" workbookViewId="0">
      <selection activeCell="A6" sqref="A6:J2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2100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2085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2084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2086</v>
      </c>
      <c r="J9" s="188"/>
    </row>
    <row r="10" spans="1:14" x14ac:dyDescent="0.25">
      <c r="B10" t="s">
        <v>9</v>
      </c>
      <c r="C10" s="10" t="s">
        <v>1034</v>
      </c>
      <c r="D10" s="10"/>
      <c r="E10" s="10"/>
      <c r="F10" s="10"/>
    </row>
    <row r="11" spans="1:14" x14ac:dyDescent="0.25">
      <c r="B11" t="s">
        <v>11</v>
      </c>
      <c r="C11" s="10" t="s">
        <v>1035</v>
      </c>
      <c r="D11" s="11"/>
      <c r="E11" s="11"/>
      <c r="F11" s="11"/>
    </row>
    <row r="12" spans="1:14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1036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1207</v>
      </c>
      <c r="C16" s="53" t="s">
        <v>987</v>
      </c>
      <c r="D16" s="79">
        <v>18</v>
      </c>
      <c r="E16" s="85">
        <v>35</v>
      </c>
      <c r="F16" s="56">
        <f t="shared" ref="F16:F23" si="0">D16*E16</f>
        <v>630</v>
      </c>
      <c r="G16" s="56">
        <f>F16*0.17</f>
        <v>107.10000000000001</v>
      </c>
      <c r="H16" s="125">
        <f>E16*1.17</f>
        <v>40.949999999999996</v>
      </c>
      <c r="I16" s="56">
        <f t="shared" ref="I16:I23" si="1">H16*D16</f>
        <v>737.09999999999991</v>
      </c>
      <c r="J16" s="83"/>
      <c r="N16" s="66"/>
    </row>
    <row r="17" spans="1:18" s="21" customFormat="1" ht="15.75" x14ac:dyDescent="0.25">
      <c r="A17" s="53">
        <v>2</v>
      </c>
      <c r="B17" s="78" t="s">
        <v>1149</v>
      </c>
      <c r="C17" s="53" t="s">
        <v>987</v>
      </c>
      <c r="D17" s="79">
        <v>18</v>
      </c>
      <c r="E17" s="85">
        <v>30</v>
      </c>
      <c r="F17" s="56">
        <f t="shared" ref="F17:F19" si="2">D17*E17</f>
        <v>540</v>
      </c>
      <c r="G17" s="56">
        <f>F17*0.17</f>
        <v>91.800000000000011</v>
      </c>
      <c r="H17" s="125">
        <f>E17*1.17</f>
        <v>35.099999999999994</v>
      </c>
      <c r="I17" s="56">
        <f t="shared" ref="I17:I19" si="3">H17*D17</f>
        <v>631.79999999999995</v>
      </c>
      <c r="J17" s="83"/>
      <c r="N17" s="66"/>
    </row>
    <row r="18" spans="1:18" s="21" customFormat="1" ht="15.75" x14ac:dyDescent="0.25">
      <c r="A18" s="53">
        <v>3</v>
      </c>
      <c r="B18" s="78" t="s">
        <v>2087</v>
      </c>
      <c r="C18" s="53" t="s">
        <v>987</v>
      </c>
      <c r="D18" s="79">
        <v>2000</v>
      </c>
      <c r="E18" s="85">
        <v>7.5</v>
      </c>
      <c r="F18" s="56">
        <f t="shared" si="2"/>
        <v>15000</v>
      </c>
      <c r="G18" s="56">
        <f>F18*0</f>
        <v>0</v>
      </c>
      <c r="H18" s="125">
        <f>E18*1</f>
        <v>7.5</v>
      </c>
      <c r="I18" s="56">
        <f t="shared" si="3"/>
        <v>15000</v>
      </c>
      <c r="J18" s="83"/>
      <c r="N18" s="66"/>
    </row>
    <row r="19" spans="1:18" s="21" customFormat="1" ht="15.75" x14ac:dyDescent="0.25">
      <c r="A19" s="53">
        <v>4</v>
      </c>
      <c r="B19" s="78" t="s">
        <v>69</v>
      </c>
      <c r="C19" s="53" t="s">
        <v>987</v>
      </c>
      <c r="D19" s="79">
        <v>144</v>
      </c>
      <c r="E19" s="85">
        <v>7.5</v>
      </c>
      <c r="F19" s="56">
        <f t="shared" si="2"/>
        <v>1080</v>
      </c>
      <c r="G19" s="56">
        <f>F19*0</f>
        <v>0</v>
      </c>
      <c r="H19" s="125">
        <f>E19*1</f>
        <v>7.5</v>
      </c>
      <c r="I19" s="56">
        <f t="shared" si="3"/>
        <v>1080</v>
      </c>
      <c r="J19" s="83"/>
      <c r="N19" s="66"/>
    </row>
    <row r="20" spans="1:18" s="21" customFormat="1" ht="15.75" x14ac:dyDescent="0.25">
      <c r="A20" s="53">
        <v>5</v>
      </c>
      <c r="B20" s="78" t="s">
        <v>2088</v>
      </c>
      <c r="C20" s="53" t="s">
        <v>987</v>
      </c>
      <c r="D20" s="79">
        <v>18</v>
      </c>
      <c r="E20" s="85">
        <v>38</v>
      </c>
      <c r="F20" s="56">
        <f t="shared" si="0"/>
        <v>684</v>
      </c>
      <c r="G20" s="56">
        <f>F20*0</f>
        <v>0</v>
      </c>
      <c r="H20" s="125">
        <f>E20*1</f>
        <v>38</v>
      </c>
      <c r="I20" s="56">
        <f t="shared" si="1"/>
        <v>684</v>
      </c>
      <c r="J20" s="83"/>
      <c r="N20" s="66"/>
    </row>
    <row r="21" spans="1:18" s="21" customFormat="1" ht="15.75" x14ac:dyDescent="0.25">
      <c r="A21" s="53">
        <v>6</v>
      </c>
      <c r="B21" s="78" t="s">
        <v>1084</v>
      </c>
      <c r="C21" s="53" t="s">
        <v>987</v>
      </c>
      <c r="D21" s="79">
        <v>18</v>
      </c>
      <c r="E21" s="85">
        <v>220</v>
      </c>
      <c r="F21" s="56">
        <f t="shared" ref="F21" si="4">D21*E21</f>
        <v>3960</v>
      </c>
      <c r="G21" s="56">
        <f>F21*0.17</f>
        <v>673.2</v>
      </c>
      <c r="H21" s="125">
        <f>E21*1.17</f>
        <v>257.39999999999998</v>
      </c>
      <c r="I21" s="56">
        <f t="shared" ref="I21" si="5">H21*D21</f>
        <v>4633.2</v>
      </c>
      <c r="J21" s="83"/>
      <c r="N21" s="66"/>
    </row>
    <row r="22" spans="1:18" s="21" customFormat="1" ht="15.75" x14ac:dyDescent="0.25">
      <c r="A22" s="53">
        <v>7</v>
      </c>
      <c r="B22" s="78" t="s">
        <v>2089</v>
      </c>
      <c r="C22" s="53" t="s">
        <v>987</v>
      </c>
      <c r="D22" s="79">
        <v>288</v>
      </c>
      <c r="E22" s="85">
        <v>7.5</v>
      </c>
      <c r="F22" s="56">
        <f t="shared" ref="F22" si="6">D22*E22</f>
        <v>2160</v>
      </c>
      <c r="G22" s="56">
        <f>F22*0</f>
        <v>0</v>
      </c>
      <c r="H22" s="125">
        <f>E22*1</f>
        <v>7.5</v>
      </c>
      <c r="I22" s="56">
        <f t="shared" ref="I22" si="7">H22*D22</f>
        <v>2160</v>
      </c>
      <c r="J22" s="83"/>
      <c r="N22" s="66"/>
    </row>
    <row r="23" spans="1:18" s="21" customFormat="1" ht="15.75" x14ac:dyDescent="0.25">
      <c r="A23" s="53">
        <v>8</v>
      </c>
      <c r="B23" s="78" t="s">
        <v>2090</v>
      </c>
      <c r="C23" s="53" t="s">
        <v>987</v>
      </c>
      <c r="D23" s="79">
        <v>18</v>
      </c>
      <c r="E23" s="85">
        <v>255</v>
      </c>
      <c r="F23" s="56">
        <f t="shared" si="0"/>
        <v>4590</v>
      </c>
      <c r="G23" s="56">
        <f>F23*0.17</f>
        <v>780.30000000000007</v>
      </c>
      <c r="H23" s="125">
        <f>E23*1.17</f>
        <v>298.34999999999997</v>
      </c>
      <c r="I23" s="56">
        <f t="shared" si="1"/>
        <v>5370.2999999999993</v>
      </c>
      <c r="J23" s="83"/>
      <c r="N23" s="66"/>
    </row>
    <row r="24" spans="1:18" s="21" customFormat="1" x14ac:dyDescent="0.25">
      <c r="A24" s="53"/>
      <c r="B24" s="47"/>
      <c r="C24" s="53"/>
      <c r="D24" s="79"/>
      <c r="E24" s="56"/>
      <c r="F24" s="56"/>
      <c r="G24" s="56"/>
      <c r="H24" s="57"/>
      <c r="I24" s="56"/>
      <c r="J24" s="58"/>
      <c r="N24" s="66"/>
    </row>
    <row r="25" spans="1:18" ht="15.75" thickBot="1" x14ac:dyDescent="0.3">
      <c r="A25" s="33"/>
      <c r="B25" s="34" t="s">
        <v>24</v>
      </c>
      <c r="C25" s="35"/>
      <c r="D25" s="62">
        <f>SUM(D16:D24)</f>
        <v>2522</v>
      </c>
      <c r="E25" s="35"/>
      <c r="F25" s="62">
        <f>SUM(F16:F24)</f>
        <v>28644</v>
      </c>
      <c r="G25" s="62">
        <f>SUM(G16:G24)</f>
        <v>1652.4</v>
      </c>
      <c r="H25" s="35"/>
      <c r="I25" s="62">
        <f>SUM(I16:I24)</f>
        <v>30296.400000000001</v>
      </c>
      <c r="J25" s="37"/>
    </row>
    <row r="26" spans="1:18" ht="15.75" thickTop="1" x14ac:dyDescent="0.25">
      <c r="A26" s="33"/>
      <c r="B26" s="34" t="s">
        <v>2091</v>
      </c>
      <c r="C26" s="35"/>
      <c r="D26" s="35"/>
      <c r="E26" s="35"/>
      <c r="F26" s="35"/>
      <c r="G26" s="35"/>
      <c r="H26" s="35"/>
      <c r="I26" s="35"/>
      <c r="J26" s="37"/>
    </row>
    <row r="27" spans="1:18" x14ac:dyDescent="0.25">
      <c r="A27" s="33"/>
      <c r="B27" s="38" t="s">
        <v>25</v>
      </c>
      <c r="C27" s="35"/>
      <c r="D27" s="35"/>
      <c r="E27" s="35"/>
      <c r="F27" s="35"/>
      <c r="G27" s="35"/>
      <c r="H27" s="35"/>
      <c r="I27" s="35"/>
      <c r="J27" s="37"/>
      <c r="M27" s="64"/>
      <c r="O27" s="65"/>
      <c r="P27" s="64"/>
      <c r="Q27" s="64"/>
      <c r="R27" s="64"/>
    </row>
    <row r="28" spans="1:18" ht="30" customHeight="1" x14ac:dyDescent="0.25">
      <c r="B28" s="183" t="s">
        <v>26</v>
      </c>
      <c r="C28" s="183"/>
      <c r="D28" s="183"/>
      <c r="E28" s="183"/>
      <c r="F28" s="183"/>
      <c r="G28" s="183"/>
      <c r="H28" s="183"/>
      <c r="I28" s="183"/>
      <c r="J28" s="183"/>
      <c r="P28" s="64"/>
      <c r="R28" s="65"/>
    </row>
    <row r="29" spans="1:18" x14ac:dyDescent="0.25">
      <c r="B29" t="s">
        <v>634</v>
      </c>
    </row>
    <row r="32" spans="1:18" x14ac:dyDescent="0.25">
      <c r="B32" t="s">
        <v>28</v>
      </c>
      <c r="H32" t="s">
        <v>28</v>
      </c>
    </row>
    <row r="33" spans="2:8" x14ac:dyDescent="0.25">
      <c r="B33" t="s">
        <v>29</v>
      </c>
      <c r="H33" t="s">
        <v>30</v>
      </c>
    </row>
  </sheetData>
  <autoFilter ref="A15:J29" xr:uid="{00000000-0009-0000-0000-000000000000}"/>
  <mergeCells count="5">
    <mergeCell ref="A6:J6"/>
    <mergeCell ref="I7:J7"/>
    <mergeCell ref="I8:J8"/>
    <mergeCell ref="I9:J9"/>
    <mergeCell ref="B28:J28"/>
  </mergeCells>
  <hyperlinks>
    <hyperlink ref="H5" r:id="rId1" xr:uid="{69A497B7-41E9-4616-A475-79B2A9BD51FC}"/>
  </hyperlinks>
  <pageMargins left="0.2" right="0.1" top="0.25" bottom="0.25" header="0.3" footer="0.3"/>
  <pageSetup paperSize="9" orientation="portrait" r:id="rId2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63612-86D8-4449-8CD3-2F89EA205908}">
  <dimension ref="A1:R36"/>
  <sheetViews>
    <sheetView workbookViewId="0">
      <selection activeCell="F18" sqref="F1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2068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2067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2069</v>
      </c>
      <c r="J9" s="188"/>
    </row>
    <row r="10" spans="1:15" x14ac:dyDescent="0.25">
      <c r="B10" t="s">
        <v>9</v>
      </c>
      <c r="C10" s="10" t="s">
        <v>1575</v>
      </c>
      <c r="D10" s="10"/>
      <c r="E10" s="10"/>
      <c r="F10" s="10"/>
    </row>
    <row r="11" spans="1:15" x14ac:dyDescent="0.25">
      <c r="B11" t="s">
        <v>11</v>
      </c>
      <c r="C11" s="10" t="s">
        <v>1576</v>
      </c>
      <c r="D11" s="11"/>
      <c r="E11" s="11"/>
      <c r="F11" s="11"/>
    </row>
    <row r="12" spans="1:15" x14ac:dyDescent="0.25">
      <c r="A12" s="12"/>
      <c r="B12" s="13"/>
      <c r="C12" s="14" t="s">
        <v>1577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1981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697</v>
      </c>
      <c r="C16" s="53" t="s">
        <v>23</v>
      </c>
      <c r="D16" s="79">
        <v>5</v>
      </c>
      <c r="E16" s="56">
        <v>35</v>
      </c>
      <c r="F16" s="56">
        <f>D16*E16</f>
        <v>175</v>
      </c>
      <c r="G16" s="56">
        <f t="shared" ref="G16:G27" si="0">F16*0.17</f>
        <v>29.750000000000004</v>
      </c>
      <c r="H16" s="129">
        <f t="shared" ref="H16:H27" si="1">E16*1.17</f>
        <v>40.949999999999996</v>
      </c>
      <c r="I16" s="56">
        <f>H16*D16</f>
        <v>204.74999999999997</v>
      </c>
      <c r="J16" s="83"/>
      <c r="L16" s="21" t="s">
        <v>1572</v>
      </c>
      <c r="M16" s="21">
        <f t="shared" ref="M16:M27" si="2">440*1.02</f>
        <v>448.8</v>
      </c>
      <c r="N16" s="66" t="e">
        <f>M16-#REF!</f>
        <v>#REF!</v>
      </c>
      <c r="O16" s="21" t="e">
        <f t="shared" ref="O16:O27" si="3">N16*D16</f>
        <v>#REF!</v>
      </c>
    </row>
    <row r="17" spans="1:18" s="21" customFormat="1" ht="15.75" x14ac:dyDescent="0.25">
      <c r="A17" s="53">
        <v>2</v>
      </c>
      <c r="B17" s="78" t="s">
        <v>2070</v>
      </c>
      <c r="C17" s="53" t="s">
        <v>23</v>
      </c>
      <c r="D17" s="79">
        <v>24</v>
      </c>
      <c r="E17" s="56">
        <v>18</v>
      </c>
      <c r="F17" s="56">
        <f t="shared" ref="F17:F27" si="4">D17*E17</f>
        <v>432</v>
      </c>
      <c r="G17" s="56">
        <f t="shared" ref="G17:G26" si="5">F17*0.17</f>
        <v>73.440000000000012</v>
      </c>
      <c r="H17" s="129">
        <f t="shared" ref="H17:H26" si="6">E17*1.17</f>
        <v>21.06</v>
      </c>
      <c r="I17" s="56">
        <f t="shared" ref="I17:I27" si="7">H17*D17</f>
        <v>505.43999999999994</v>
      </c>
      <c r="J17" s="83"/>
      <c r="N17" s="66"/>
    </row>
    <row r="18" spans="1:18" s="21" customFormat="1" ht="15.75" x14ac:dyDescent="0.25">
      <c r="A18" s="53">
        <v>3</v>
      </c>
      <c r="B18" s="78" t="s">
        <v>2071</v>
      </c>
      <c r="C18" s="53" t="s">
        <v>23</v>
      </c>
      <c r="D18" s="79">
        <v>84</v>
      </c>
      <c r="E18" s="56">
        <v>160</v>
      </c>
      <c r="F18" s="56">
        <f t="shared" si="4"/>
        <v>13440</v>
      </c>
      <c r="G18" s="56">
        <f t="shared" si="5"/>
        <v>2284.8000000000002</v>
      </c>
      <c r="H18" s="129">
        <f t="shared" si="6"/>
        <v>187.2</v>
      </c>
      <c r="I18" s="56">
        <f t="shared" si="7"/>
        <v>15724.8</v>
      </c>
      <c r="J18" s="83"/>
      <c r="N18" s="66"/>
    </row>
    <row r="19" spans="1:18" s="21" customFormat="1" ht="15.75" x14ac:dyDescent="0.25">
      <c r="A19" s="53">
        <v>4</v>
      </c>
      <c r="B19" s="78" t="s">
        <v>1769</v>
      </c>
      <c r="C19" s="53" t="s">
        <v>23</v>
      </c>
      <c r="D19" s="79">
        <v>42</v>
      </c>
      <c r="E19" s="56">
        <v>95</v>
      </c>
      <c r="F19" s="56">
        <f t="shared" si="4"/>
        <v>3990</v>
      </c>
      <c r="G19" s="56">
        <f t="shared" si="5"/>
        <v>678.30000000000007</v>
      </c>
      <c r="H19" s="129">
        <f t="shared" si="6"/>
        <v>111.14999999999999</v>
      </c>
      <c r="I19" s="56">
        <f t="shared" si="7"/>
        <v>4668.2999999999993</v>
      </c>
      <c r="J19" s="83"/>
      <c r="N19" s="66"/>
    </row>
    <row r="20" spans="1:18" s="21" customFormat="1" ht="15.75" x14ac:dyDescent="0.25">
      <c r="A20" s="53">
        <v>5</v>
      </c>
      <c r="B20" s="78" t="s">
        <v>2072</v>
      </c>
      <c r="C20" s="53" t="s">
        <v>2016</v>
      </c>
      <c r="D20" s="79">
        <v>42</v>
      </c>
      <c r="E20" s="56">
        <v>160</v>
      </c>
      <c r="F20" s="56">
        <f t="shared" si="4"/>
        <v>6720</v>
      </c>
      <c r="G20" s="56">
        <f t="shared" si="5"/>
        <v>1142.4000000000001</v>
      </c>
      <c r="H20" s="129">
        <f t="shared" si="6"/>
        <v>187.2</v>
      </c>
      <c r="I20" s="56">
        <f t="shared" si="7"/>
        <v>7862.4</v>
      </c>
      <c r="J20" s="83"/>
      <c r="L20" s="21" t="s">
        <v>1571</v>
      </c>
      <c r="N20" s="66"/>
    </row>
    <row r="21" spans="1:18" s="21" customFormat="1" ht="15.75" x14ac:dyDescent="0.25">
      <c r="A21" s="53">
        <v>6</v>
      </c>
      <c r="B21" s="78" t="s">
        <v>2073</v>
      </c>
      <c r="C21" s="53" t="s">
        <v>23</v>
      </c>
      <c r="D21" s="79">
        <v>2</v>
      </c>
      <c r="E21" s="56">
        <v>35</v>
      </c>
      <c r="F21" s="56">
        <f t="shared" si="4"/>
        <v>70</v>
      </c>
      <c r="G21" s="56">
        <f t="shared" si="5"/>
        <v>11.9</v>
      </c>
      <c r="H21" s="129">
        <f t="shared" si="6"/>
        <v>40.949999999999996</v>
      </c>
      <c r="I21" s="56">
        <f t="shared" si="7"/>
        <v>81.899999999999991</v>
      </c>
      <c r="J21" s="83"/>
      <c r="N21" s="66"/>
    </row>
    <row r="22" spans="1:18" s="21" customFormat="1" ht="15.75" x14ac:dyDescent="0.25">
      <c r="A22" s="53">
        <v>7</v>
      </c>
      <c r="B22" s="78" t="s">
        <v>2074</v>
      </c>
      <c r="C22" s="53" t="s">
        <v>2079</v>
      </c>
      <c r="D22" s="79">
        <v>1</v>
      </c>
      <c r="E22" s="56">
        <v>135</v>
      </c>
      <c r="F22" s="56">
        <f t="shared" si="4"/>
        <v>135</v>
      </c>
      <c r="G22" s="56">
        <f t="shared" si="5"/>
        <v>22.950000000000003</v>
      </c>
      <c r="H22" s="129">
        <f t="shared" si="6"/>
        <v>157.94999999999999</v>
      </c>
      <c r="I22" s="56">
        <f t="shared" si="7"/>
        <v>157.94999999999999</v>
      </c>
      <c r="J22" s="83"/>
      <c r="N22" s="66"/>
    </row>
    <row r="23" spans="1:18" s="21" customFormat="1" ht="15.75" x14ac:dyDescent="0.25">
      <c r="A23" s="53">
        <v>8</v>
      </c>
      <c r="B23" s="78" t="s">
        <v>2075</v>
      </c>
      <c r="C23" s="53" t="s">
        <v>23</v>
      </c>
      <c r="D23" s="79">
        <v>3</v>
      </c>
      <c r="E23" s="56">
        <v>35</v>
      </c>
      <c r="F23" s="56">
        <f t="shared" si="4"/>
        <v>105</v>
      </c>
      <c r="G23" s="56">
        <f t="shared" si="5"/>
        <v>17.850000000000001</v>
      </c>
      <c r="H23" s="129">
        <f t="shared" si="6"/>
        <v>40.949999999999996</v>
      </c>
      <c r="I23" s="56">
        <f t="shared" si="7"/>
        <v>122.85</v>
      </c>
      <c r="J23" s="83"/>
      <c r="N23" s="66"/>
    </row>
    <row r="24" spans="1:18" s="21" customFormat="1" ht="15.75" x14ac:dyDescent="0.25">
      <c r="A24" s="53">
        <v>9</v>
      </c>
      <c r="B24" s="78" t="s">
        <v>2076</v>
      </c>
      <c r="C24" s="53" t="s">
        <v>23</v>
      </c>
      <c r="D24" s="79">
        <v>6</v>
      </c>
      <c r="E24" s="56">
        <v>40</v>
      </c>
      <c r="F24" s="56">
        <f t="shared" si="4"/>
        <v>240</v>
      </c>
      <c r="G24" s="56">
        <f t="shared" si="5"/>
        <v>40.800000000000004</v>
      </c>
      <c r="H24" s="129">
        <f t="shared" si="6"/>
        <v>46.8</v>
      </c>
      <c r="I24" s="56">
        <f t="shared" si="7"/>
        <v>280.79999999999995</v>
      </c>
      <c r="J24" s="83"/>
      <c r="L24" s="21" t="s">
        <v>1571</v>
      </c>
      <c r="N24" s="66"/>
    </row>
    <row r="25" spans="1:18" s="21" customFormat="1" ht="15.75" x14ac:dyDescent="0.25">
      <c r="A25" s="53">
        <v>10</v>
      </c>
      <c r="B25" s="78" t="s">
        <v>2077</v>
      </c>
      <c r="C25" s="53" t="s">
        <v>23</v>
      </c>
      <c r="D25" s="79">
        <v>6</v>
      </c>
      <c r="E25" s="56">
        <v>24</v>
      </c>
      <c r="F25" s="56">
        <f t="shared" si="4"/>
        <v>144</v>
      </c>
      <c r="G25" s="56">
        <f t="shared" si="5"/>
        <v>24.48</v>
      </c>
      <c r="H25" s="129">
        <f t="shared" si="6"/>
        <v>28.08</v>
      </c>
      <c r="I25" s="56">
        <f t="shared" si="7"/>
        <v>168.48</v>
      </c>
      <c r="J25" s="83"/>
      <c r="N25" s="66"/>
    </row>
    <row r="26" spans="1:18" s="21" customFormat="1" ht="15.75" x14ac:dyDescent="0.25">
      <c r="A26" s="53">
        <v>11</v>
      </c>
      <c r="B26" s="78" t="s">
        <v>2078</v>
      </c>
      <c r="C26" s="53" t="s">
        <v>23</v>
      </c>
      <c r="D26" s="79">
        <v>5</v>
      </c>
      <c r="E26" s="56">
        <v>150</v>
      </c>
      <c r="F26" s="56">
        <f>D26*E26</f>
        <v>750</v>
      </c>
      <c r="G26" s="56">
        <f t="shared" si="5"/>
        <v>127.50000000000001</v>
      </c>
      <c r="H26" s="129">
        <f t="shared" si="6"/>
        <v>175.5</v>
      </c>
      <c r="I26" s="56">
        <f>H26*D26</f>
        <v>877.5</v>
      </c>
      <c r="J26" s="83"/>
      <c r="L26" s="21" t="s">
        <v>1571</v>
      </c>
      <c r="N26" s="66"/>
    </row>
    <row r="27" spans="1:18" s="21" customFormat="1" x14ac:dyDescent="0.25">
      <c r="A27" s="53"/>
      <c r="B27" s="47"/>
      <c r="C27" s="82"/>
      <c r="D27" s="57"/>
      <c r="E27" s="56"/>
      <c r="F27" s="56">
        <f t="shared" si="4"/>
        <v>0</v>
      </c>
      <c r="G27" s="56">
        <f t="shared" si="0"/>
        <v>0</v>
      </c>
      <c r="H27" s="129">
        <f t="shared" si="1"/>
        <v>0</v>
      </c>
      <c r="I27" s="56">
        <f t="shared" si="7"/>
        <v>0</v>
      </c>
      <c r="J27" s="58"/>
      <c r="M27" s="21">
        <f t="shared" si="2"/>
        <v>448.8</v>
      </c>
      <c r="N27" s="66" t="e">
        <f>M27-#REF!</f>
        <v>#REF!</v>
      </c>
      <c r="O27" s="21" t="e">
        <f t="shared" si="3"/>
        <v>#REF!</v>
      </c>
    </row>
    <row r="28" spans="1:18" ht="15.75" thickBot="1" x14ac:dyDescent="0.3">
      <c r="A28" s="33"/>
      <c r="B28" s="34" t="s">
        <v>24</v>
      </c>
      <c r="C28" s="35"/>
      <c r="D28" s="62">
        <f>SUM(D16:D27)</f>
        <v>220</v>
      </c>
      <c r="E28" s="35"/>
      <c r="F28" s="62">
        <f>SUM(F16:F27)</f>
        <v>26201</v>
      </c>
      <c r="G28" s="62">
        <f>SUM(G16:G27)</f>
        <v>4454.17</v>
      </c>
      <c r="H28" s="35"/>
      <c r="I28" s="62">
        <f>SUM(I16:I27)</f>
        <v>30655.169999999995</v>
      </c>
      <c r="J28" s="37"/>
      <c r="M28" t="e">
        <f>#REF!/117*100</f>
        <v>#REF!</v>
      </c>
      <c r="O28" t="e">
        <f>M28*1.1</f>
        <v>#REF!</v>
      </c>
    </row>
    <row r="29" spans="1:18" ht="15.75" thickTop="1" x14ac:dyDescent="0.25">
      <c r="A29" s="33"/>
      <c r="B29" s="34" t="s">
        <v>2080</v>
      </c>
      <c r="C29" s="35"/>
      <c r="D29" s="35"/>
      <c r="E29" s="35"/>
      <c r="F29" s="35"/>
      <c r="G29" s="35"/>
      <c r="H29" s="35"/>
      <c r="I29" s="35"/>
      <c r="J29" s="37"/>
    </row>
    <row r="30" spans="1:18" x14ac:dyDescent="0.25">
      <c r="A30" s="33"/>
      <c r="B30" s="38" t="s">
        <v>25</v>
      </c>
      <c r="C30" s="35"/>
      <c r="D30" s="35"/>
      <c r="E30" s="35"/>
      <c r="F30" s="35"/>
      <c r="G30" s="35"/>
      <c r="H30" s="35"/>
      <c r="I30" s="35"/>
      <c r="J30" s="37"/>
      <c r="M30" s="64" t="e">
        <f>M28*#REF!</f>
        <v>#REF!</v>
      </c>
      <c r="O30" s="65" t="e">
        <f>#REF!</f>
        <v>#REF!</v>
      </c>
      <c r="P30" s="64" t="e">
        <f>O30-M30</f>
        <v>#REF!</v>
      </c>
      <c r="Q30" s="64" t="e">
        <f>#REF!*0.045</f>
        <v>#REF!</v>
      </c>
      <c r="R30" s="64" t="e">
        <f>P30-Q30</f>
        <v>#REF!</v>
      </c>
    </row>
    <row r="31" spans="1:18" ht="30" customHeight="1" x14ac:dyDescent="0.25">
      <c r="B31" s="183" t="s">
        <v>26</v>
      </c>
      <c r="C31" s="183"/>
      <c r="D31" s="183"/>
      <c r="E31" s="183"/>
      <c r="F31" s="183"/>
      <c r="G31" s="183"/>
      <c r="H31" s="183"/>
      <c r="I31" s="183"/>
      <c r="J31" s="183"/>
      <c r="P31" s="64"/>
      <c r="R31" s="65" t="e">
        <f>#REF!-#REF!</f>
        <v>#REF!</v>
      </c>
    </row>
    <row r="32" spans="1:18" x14ac:dyDescent="0.25">
      <c r="B32" t="s">
        <v>634</v>
      </c>
    </row>
    <row r="35" spans="2:8" x14ac:dyDescent="0.25">
      <c r="B35" t="s">
        <v>28</v>
      </c>
      <c r="H35" t="s">
        <v>28</v>
      </c>
    </row>
    <row r="36" spans="2:8" x14ac:dyDescent="0.25">
      <c r="B36" t="s">
        <v>29</v>
      </c>
      <c r="H36" t="s">
        <v>30</v>
      </c>
    </row>
  </sheetData>
  <autoFilter ref="A15:J32" xr:uid="{00000000-0009-0000-0000-000000000000}"/>
  <mergeCells count="5">
    <mergeCell ref="A6:J6"/>
    <mergeCell ref="I7:J7"/>
    <mergeCell ref="I8:J8"/>
    <mergeCell ref="I9:J9"/>
    <mergeCell ref="B31:J31"/>
  </mergeCells>
  <hyperlinks>
    <hyperlink ref="H5" r:id="rId1" xr:uid="{ADB38D16-0ABE-40E9-906F-668B180F1192}"/>
  </hyperlinks>
  <pageMargins left="0.2" right="0.1" top="0.25" bottom="0.25" header="0.3" footer="0.3"/>
  <pageSetup paperSize="9" orientation="portrait" r:id="rId2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B8AB4-8D29-45BE-A532-DD0E001C13F4}">
  <dimension ref="A1:R29"/>
  <sheetViews>
    <sheetView topLeftCell="A3" workbookViewId="0">
      <selection activeCell="F19" activeCellId="2" sqref="F16 F18 F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2060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2059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2066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2061</v>
      </c>
      <c r="C16" s="53" t="s">
        <v>987</v>
      </c>
      <c r="D16" s="79">
        <v>4</v>
      </c>
      <c r="E16" s="56">
        <v>42</v>
      </c>
      <c r="F16" s="56">
        <f>D16*E16</f>
        <v>168</v>
      </c>
      <c r="G16" s="56">
        <f>F16*0.17</f>
        <v>28.560000000000002</v>
      </c>
      <c r="H16" s="125">
        <f>E16*1.17</f>
        <v>49.14</v>
      </c>
      <c r="I16" s="56">
        <f t="shared" ref="I16" si="0">H16*D16</f>
        <v>196.56</v>
      </c>
      <c r="J16" s="83"/>
      <c r="N16" s="66"/>
    </row>
    <row r="17" spans="1:18" s="21" customFormat="1" ht="15.75" x14ac:dyDescent="0.25">
      <c r="A17" s="53">
        <v>2</v>
      </c>
      <c r="B17" s="78" t="s">
        <v>2062</v>
      </c>
      <c r="C17" s="53" t="s">
        <v>987</v>
      </c>
      <c r="D17" s="79">
        <v>10</v>
      </c>
      <c r="E17" s="56">
        <v>60</v>
      </c>
      <c r="F17" s="56">
        <f>D17*E17</f>
        <v>600</v>
      </c>
      <c r="G17" s="56">
        <f>F17*0</f>
        <v>0</v>
      </c>
      <c r="H17" s="125">
        <f>E17*1</f>
        <v>60</v>
      </c>
      <c r="I17" s="56">
        <f t="shared" ref="I17:I18" si="1">H17*D17</f>
        <v>600</v>
      </c>
      <c r="J17" s="83"/>
      <c r="N17" s="66"/>
    </row>
    <row r="18" spans="1:18" s="21" customFormat="1" ht="15.75" x14ac:dyDescent="0.25">
      <c r="A18" s="53">
        <v>3</v>
      </c>
      <c r="B18" s="78" t="s">
        <v>2063</v>
      </c>
      <c r="C18" s="53" t="s">
        <v>987</v>
      </c>
      <c r="D18" s="79">
        <v>10</v>
      </c>
      <c r="E18" s="56">
        <v>150</v>
      </c>
      <c r="F18" s="56">
        <f>D18*E18</f>
        <v>1500</v>
      </c>
      <c r="G18" s="56">
        <f>F18*0.17</f>
        <v>255.00000000000003</v>
      </c>
      <c r="H18" s="125">
        <f>E18*1.17</f>
        <v>175.5</v>
      </c>
      <c r="I18" s="56">
        <f t="shared" si="1"/>
        <v>1755</v>
      </c>
      <c r="J18" s="83"/>
      <c r="N18" s="66"/>
    </row>
    <row r="19" spans="1:18" s="21" customFormat="1" ht="15.75" x14ac:dyDescent="0.25">
      <c r="A19" s="53">
        <v>4</v>
      </c>
      <c r="B19" s="78" t="s">
        <v>2064</v>
      </c>
      <c r="C19" s="53" t="s">
        <v>987</v>
      </c>
      <c r="D19" s="79">
        <v>10</v>
      </c>
      <c r="E19" s="56">
        <v>180</v>
      </c>
      <c r="F19" s="56">
        <f>D19*E19</f>
        <v>1800</v>
      </c>
      <c r="G19" s="56">
        <f>F19*0.17</f>
        <v>306</v>
      </c>
      <c r="H19" s="125">
        <f>E19*1.17</f>
        <v>210.6</v>
      </c>
      <c r="I19" s="56">
        <f t="shared" ref="I19" si="2">H19*D19</f>
        <v>2106</v>
      </c>
      <c r="J19" s="83"/>
      <c r="N19" s="66"/>
    </row>
    <row r="20" spans="1:18" s="21" customFormat="1" x14ac:dyDescent="0.25">
      <c r="A20" s="53"/>
      <c r="B20" s="47"/>
      <c r="C20" s="53"/>
      <c r="D20" s="79"/>
      <c r="E20" s="56"/>
      <c r="F20" s="56"/>
      <c r="G20" s="56"/>
      <c r="H20" s="57"/>
      <c r="I20" s="56"/>
      <c r="J20" s="58"/>
      <c r="N20" s="66"/>
    </row>
    <row r="21" spans="1:18" ht="15.75" thickBot="1" x14ac:dyDescent="0.3">
      <c r="A21" s="33"/>
      <c r="B21" s="34" t="s">
        <v>24</v>
      </c>
      <c r="C21" s="35"/>
      <c r="D21" s="62">
        <f>SUM(D16:D20)</f>
        <v>34</v>
      </c>
      <c r="E21" s="35"/>
      <c r="F21" s="62">
        <f>SUM(F16:F20)</f>
        <v>4068</v>
      </c>
      <c r="G21" s="62">
        <f>SUM(G16:G20)</f>
        <v>589.56000000000006</v>
      </c>
      <c r="H21" s="35"/>
      <c r="I21" s="62">
        <f>SUM(I16:I20)</f>
        <v>4657.5599999999995</v>
      </c>
      <c r="J21" s="37"/>
    </row>
    <row r="22" spans="1:18" ht="15.75" thickTop="1" x14ac:dyDescent="0.25">
      <c r="A22" s="33"/>
      <c r="B22" s="34" t="s">
        <v>2065</v>
      </c>
      <c r="C22" s="35"/>
      <c r="D22" s="35"/>
      <c r="E22" s="35"/>
      <c r="F22" s="35"/>
      <c r="G22" s="35"/>
      <c r="H22" s="35"/>
      <c r="I22" s="35"/>
      <c r="J22" s="37"/>
    </row>
    <row r="23" spans="1:18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  <c r="M23" s="64"/>
      <c r="O23" s="65"/>
      <c r="P23" s="64"/>
      <c r="Q23" s="64"/>
      <c r="R23" s="64"/>
    </row>
    <row r="24" spans="1:18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  <c r="P24" s="64"/>
      <c r="R24" s="65"/>
    </row>
    <row r="25" spans="1:18" x14ac:dyDescent="0.25">
      <c r="B25" t="s">
        <v>634</v>
      </c>
    </row>
    <row r="28" spans="1:18" x14ac:dyDescent="0.25">
      <c r="B28" t="s">
        <v>28</v>
      </c>
      <c r="H28" t="s">
        <v>28</v>
      </c>
    </row>
    <row r="29" spans="1:18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073E8226-7FD2-49BC-8191-95E2E70B9D64}"/>
  </hyperlinks>
  <pageMargins left="0.2" right="0.1" top="0.25" bottom="0.25" header="0.3" footer="0.3"/>
  <pageSetup paperSize="9" orientation="portrait" r:id="rId2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78E72-D6D1-46C4-B01A-5853EC328BD5}">
  <dimension ref="A1:J26"/>
  <sheetViews>
    <sheetView workbookViewId="0">
      <selection activeCell="C12" sqref="C1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2057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2056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x14ac:dyDescent="0.25">
      <c r="C14" s="75"/>
    </row>
    <row r="15" spans="1:10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0" s="21" customFormat="1" x14ac:dyDescent="0.25">
      <c r="A16" s="53">
        <v>1</v>
      </c>
      <c r="B16" s="78" t="s">
        <v>1659</v>
      </c>
      <c r="C16" s="53" t="s">
        <v>23</v>
      </c>
      <c r="D16" s="79">
        <v>72</v>
      </c>
      <c r="E16" s="56">
        <v>140</v>
      </c>
      <c r="F16" s="56">
        <f t="shared" ref="F16:F17" si="0">D16*E16</f>
        <v>10080</v>
      </c>
      <c r="G16" s="56">
        <f>F16*0.17</f>
        <v>1713.6000000000001</v>
      </c>
      <c r="H16" s="129">
        <f>E16*1.17</f>
        <v>163.79999999999998</v>
      </c>
      <c r="I16" s="56">
        <f t="shared" ref="I16:I17" si="1">H16*D16</f>
        <v>11793.599999999999</v>
      </c>
      <c r="J16" s="58"/>
    </row>
    <row r="17" spans="1:10" s="21" customFormat="1" x14ac:dyDescent="0.25">
      <c r="A17" s="53"/>
      <c r="B17" s="47"/>
      <c r="C17" s="82"/>
      <c r="D17" s="57"/>
      <c r="E17" s="56"/>
      <c r="F17" s="56">
        <f t="shared" si="0"/>
        <v>0</v>
      </c>
      <c r="G17" s="56">
        <f t="shared" ref="G17" si="2">F17*0.17</f>
        <v>0</v>
      </c>
      <c r="H17" s="129">
        <f t="shared" ref="H17" si="3">E17*1.17</f>
        <v>0</v>
      </c>
      <c r="I17" s="56">
        <f t="shared" si="1"/>
        <v>0</v>
      </c>
      <c r="J17" s="58"/>
    </row>
    <row r="18" spans="1:10" ht="15.75" thickBot="1" x14ac:dyDescent="0.3">
      <c r="A18" s="33"/>
      <c r="B18" s="34" t="s">
        <v>24</v>
      </c>
      <c r="C18" s="35"/>
      <c r="D18" s="62">
        <f>SUM(D16:D17)</f>
        <v>72</v>
      </c>
      <c r="E18" s="35"/>
      <c r="F18" s="62">
        <f>SUM(F16:F17)</f>
        <v>10080</v>
      </c>
      <c r="G18" s="62">
        <f>SUM(G16:G17)</f>
        <v>1713.6000000000001</v>
      </c>
      <c r="H18" s="35"/>
      <c r="I18" s="62">
        <f>SUM(I16:I17)</f>
        <v>11793.599999999999</v>
      </c>
      <c r="J18" s="37"/>
    </row>
    <row r="19" spans="1:10" ht="15.75" thickTop="1" x14ac:dyDescent="0.25">
      <c r="A19" s="33"/>
      <c r="B19" s="34" t="s">
        <v>2058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634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2B85BC5E-CC93-4380-84C3-92066672B9A4}"/>
  </hyperlinks>
  <pageMargins left="0.2" right="0.1" top="0.25" bottom="0.25" header="0.3" footer="0.3"/>
  <pageSetup paperSize="9" orientation="portrait" r:id="rId2"/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92394-FF15-4058-9499-36C122A9ABCE}">
  <dimension ref="A1:J40"/>
  <sheetViews>
    <sheetView workbookViewId="0">
      <selection activeCell="A10" sqref="A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2052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2051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1883</v>
      </c>
      <c r="D10" s="10"/>
      <c r="E10" s="10"/>
      <c r="F10" s="10"/>
    </row>
    <row r="11" spans="1:10" x14ac:dyDescent="0.25">
      <c r="B11" t="s">
        <v>11</v>
      </c>
      <c r="C11" s="10" t="s">
        <v>1884</v>
      </c>
      <c r="D11" s="11"/>
      <c r="E11" s="11"/>
      <c r="F11" s="11"/>
    </row>
    <row r="12" spans="1:10" x14ac:dyDescent="0.25">
      <c r="A12" s="12"/>
      <c r="B12" s="13"/>
      <c r="C12" s="14" t="s">
        <v>1885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1886</v>
      </c>
      <c r="D13" s="15"/>
      <c r="E13" s="15"/>
      <c r="F13" s="15"/>
      <c r="G13" s="16"/>
      <c r="H13" s="16"/>
      <c r="I13" s="16"/>
    </row>
    <row r="14" spans="1:10" ht="5.0999999999999996" customHeight="1" x14ac:dyDescent="0.25">
      <c r="C14" s="75"/>
    </row>
    <row r="15" spans="1:10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0" s="21" customFormat="1" x14ac:dyDescent="0.25">
      <c r="A16" s="53">
        <v>1</v>
      </c>
      <c r="B16" s="78" t="s">
        <v>1887</v>
      </c>
      <c r="C16" s="53" t="s">
        <v>23</v>
      </c>
      <c r="D16" s="79">
        <v>250</v>
      </c>
      <c r="E16" s="145">
        <v>7.5</v>
      </c>
      <c r="F16" s="56">
        <f t="shared" ref="F16:F31" si="0">D16*E16</f>
        <v>1875</v>
      </c>
      <c r="G16" s="56">
        <f>F16*0</f>
        <v>0</v>
      </c>
      <c r="H16" s="129">
        <f>E16*1</f>
        <v>7.5</v>
      </c>
      <c r="I16" s="56">
        <f t="shared" ref="I16:I31" si="1">H16*D16</f>
        <v>1875</v>
      </c>
      <c r="J16" s="58"/>
    </row>
    <row r="17" spans="1:10" s="21" customFormat="1" x14ac:dyDescent="0.25">
      <c r="A17" s="53">
        <f>A16+1</f>
        <v>2</v>
      </c>
      <c r="B17" s="78" t="s">
        <v>1888</v>
      </c>
      <c r="C17" s="53" t="s">
        <v>23</v>
      </c>
      <c r="D17" s="79">
        <v>24</v>
      </c>
      <c r="E17" s="145">
        <v>90</v>
      </c>
      <c r="F17" s="56">
        <f t="shared" si="0"/>
        <v>2160</v>
      </c>
      <c r="G17" s="56">
        <f t="shared" ref="G17:G31" si="2">F17*0.17</f>
        <v>367.20000000000005</v>
      </c>
      <c r="H17" s="129">
        <f t="shared" ref="H17:H31" si="3">E17*1.17</f>
        <v>105.3</v>
      </c>
      <c r="I17" s="56">
        <f t="shared" si="1"/>
        <v>2527.1999999999998</v>
      </c>
      <c r="J17" s="58"/>
    </row>
    <row r="18" spans="1:10" s="21" customFormat="1" x14ac:dyDescent="0.25">
      <c r="A18" s="53">
        <f t="shared" ref="A18:A30" si="4">A17+1</f>
        <v>3</v>
      </c>
      <c r="B18" s="78" t="s">
        <v>1889</v>
      </c>
      <c r="C18" s="53" t="s">
        <v>23</v>
      </c>
      <c r="D18" s="79">
        <v>100</v>
      </c>
      <c r="E18" s="145">
        <v>18</v>
      </c>
      <c r="F18" s="56">
        <f t="shared" si="0"/>
        <v>1800</v>
      </c>
      <c r="G18" s="56">
        <f t="shared" si="2"/>
        <v>306</v>
      </c>
      <c r="H18" s="129">
        <f t="shared" si="3"/>
        <v>21.06</v>
      </c>
      <c r="I18" s="56">
        <f t="shared" si="1"/>
        <v>2106</v>
      </c>
      <c r="J18" s="58"/>
    </row>
    <row r="19" spans="1:10" s="21" customFormat="1" x14ac:dyDescent="0.25">
      <c r="A19" s="53">
        <f t="shared" si="4"/>
        <v>4</v>
      </c>
      <c r="B19" s="78" t="s">
        <v>377</v>
      </c>
      <c r="C19" s="53" t="s">
        <v>23</v>
      </c>
      <c r="D19" s="79">
        <v>60</v>
      </c>
      <c r="E19" s="145">
        <v>88</v>
      </c>
      <c r="F19" s="56">
        <f t="shared" si="0"/>
        <v>5280</v>
      </c>
      <c r="G19" s="56">
        <f t="shared" si="2"/>
        <v>897.6</v>
      </c>
      <c r="H19" s="129">
        <f t="shared" si="3"/>
        <v>102.96</v>
      </c>
      <c r="I19" s="56">
        <f t="shared" si="1"/>
        <v>6177.5999999999995</v>
      </c>
      <c r="J19" s="58"/>
    </row>
    <row r="20" spans="1:10" s="21" customFormat="1" x14ac:dyDescent="0.25">
      <c r="A20" s="53">
        <f t="shared" si="4"/>
        <v>5</v>
      </c>
      <c r="B20" s="78" t="s">
        <v>1890</v>
      </c>
      <c r="C20" s="53" t="s">
        <v>23</v>
      </c>
      <c r="D20" s="79">
        <v>24</v>
      </c>
      <c r="E20" s="145">
        <v>125</v>
      </c>
      <c r="F20" s="56">
        <f t="shared" si="0"/>
        <v>3000</v>
      </c>
      <c r="G20" s="56">
        <f t="shared" si="2"/>
        <v>510.00000000000006</v>
      </c>
      <c r="H20" s="129">
        <f t="shared" si="3"/>
        <v>146.25</v>
      </c>
      <c r="I20" s="56">
        <f t="shared" si="1"/>
        <v>3510</v>
      </c>
      <c r="J20" s="58"/>
    </row>
    <row r="21" spans="1:10" s="21" customFormat="1" x14ac:dyDescent="0.25">
      <c r="A21" s="53">
        <f t="shared" si="4"/>
        <v>6</v>
      </c>
      <c r="B21" s="78" t="s">
        <v>1891</v>
      </c>
      <c r="C21" s="53" t="s">
        <v>76</v>
      </c>
      <c r="D21" s="79">
        <v>2</v>
      </c>
      <c r="E21" s="145">
        <v>350</v>
      </c>
      <c r="F21" s="56">
        <f t="shared" si="0"/>
        <v>700</v>
      </c>
      <c r="G21" s="56">
        <f t="shared" si="2"/>
        <v>119.00000000000001</v>
      </c>
      <c r="H21" s="129">
        <f t="shared" si="3"/>
        <v>409.5</v>
      </c>
      <c r="I21" s="56">
        <f t="shared" si="1"/>
        <v>819</v>
      </c>
      <c r="J21" s="58"/>
    </row>
    <row r="22" spans="1:10" s="21" customFormat="1" x14ac:dyDescent="0.25">
      <c r="A22" s="53">
        <f t="shared" si="4"/>
        <v>7</v>
      </c>
      <c r="B22" s="78" t="s">
        <v>950</v>
      </c>
      <c r="C22" s="53" t="s">
        <v>76</v>
      </c>
      <c r="D22" s="79">
        <v>10</v>
      </c>
      <c r="E22" s="145">
        <v>30</v>
      </c>
      <c r="F22" s="56">
        <f t="shared" si="0"/>
        <v>300</v>
      </c>
      <c r="G22" s="56">
        <f t="shared" si="2"/>
        <v>51.000000000000007</v>
      </c>
      <c r="H22" s="129">
        <f t="shared" si="3"/>
        <v>35.099999999999994</v>
      </c>
      <c r="I22" s="56">
        <f t="shared" si="1"/>
        <v>350.99999999999994</v>
      </c>
      <c r="J22" s="58"/>
    </row>
    <row r="23" spans="1:10" s="21" customFormat="1" x14ac:dyDescent="0.25">
      <c r="A23" s="53">
        <f t="shared" si="4"/>
        <v>8</v>
      </c>
      <c r="B23" s="78" t="s">
        <v>927</v>
      </c>
      <c r="C23" s="53" t="s">
        <v>76</v>
      </c>
      <c r="D23" s="79">
        <v>2</v>
      </c>
      <c r="E23" s="145">
        <v>90</v>
      </c>
      <c r="F23" s="56">
        <f t="shared" si="0"/>
        <v>180</v>
      </c>
      <c r="G23" s="56">
        <f>F23*0</f>
        <v>0</v>
      </c>
      <c r="H23" s="129">
        <f>E23*1</f>
        <v>90</v>
      </c>
      <c r="I23" s="56">
        <f t="shared" si="1"/>
        <v>180</v>
      </c>
      <c r="J23" s="58"/>
    </row>
    <row r="24" spans="1:10" s="21" customFormat="1" x14ac:dyDescent="0.25">
      <c r="A24" s="53">
        <f t="shared" si="4"/>
        <v>9</v>
      </c>
      <c r="B24" s="78" t="s">
        <v>2053</v>
      </c>
      <c r="C24" s="53" t="s">
        <v>23</v>
      </c>
      <c r="D24" s="79">
        <v>6</v>
      </c>
      <c r="E24" s="145">
        <v>32</v>
      </c>
      <c r="F24" s="56">
        <f t="shared" si="0"/>
        <v>192</v>
      </c>
      <c r="G24" s="56">
        <f t="shared" si="2"/>
        <v>32.64</v>
      </c>
      <c r="H24" s="129">
        <f t="shared" si="3"/>
        <v>37.44</v>
      </c>
      <c r="I24" s="56">
        <f t="shared" si="1"/>
        <v>224.64</v>
      </c>
      <c r="J24" s="58"/>
    </row>
    <row r="25" spans="1:10" s="21" customFormat="1" x14ac:dyDescent="0.25">
      <c r="A25" s="53">
        <f t="shared" si="4"/>
        <v>10</v>
      </c>
      <c r="B25" s="78" t="s">
        <v>2054</v>
      </c>
      <c r="C25" s="53" t="s">
        <v>76</v>
      </c>
      <c r="D25" s="79">
        <v>1</v>
      </c>
      <c r="E25" s="145">
        <v>380</v>
      </c>
      <c r="F25" s="56">
        <f t="shared" si="0"/>
        <v>380</v>
      </c>
      <c r="G25" s="56">
        <f t="shared" si="2"/>
        <v>64.600000000000009</v>
      </c>
      <c r="H25" s="129">
        <f t="shared" si="3"/>
        <v>444.59999999999997</v>
      </c>
      <c r="I25" s="56">
        <f t="shared" si="1"/>
        <v>444.59999999999997</v>
      </c>
      <c r="J25" s="58"/>
    </row>
    <row r="26" spans="1:10" s="21" customFormat="1" x14ac:dyDescent="0.25">
      <c r="A26" s="53">
        <f t="shared" si="4"/>
        <v>11</v>
      </c>
      <c r="B26" s="78" t="s">
        <v>1893</v>
      </c>
      <c r="C26" s="53" t="s">
        <v>23</v>
      </c>
      <c r="D26" s="79">
        <v>1</v>
      </c>
      <c r="E26" s="145">
        <v>170</v>
      </c>
      <c r="F26" s="56">
        <f t="shared" si="0"/>
        <v>170</v>
      </c>
      <c r="G26" s="56">
        <f t="shared" ref="G26:G28" si="5">F26*0.17</f>
        <v>28.900000000000002</v>
      </c>
      <c r="H26" s="129">
        <f t="shared" ref="H26:H28" si="6">E26*1.17</f>
        <v>198.89999999999998</v>
      </c>
      <c r="I26" s="56">
        <f t="shared" si="1"/>
        <v>198.89999999999998</v>
      </c>
      <c r="J26" s="58"/>
    </row>
    <row r="27" spans="1:10" s="21" customFormat="1" x14ac:dyDescent="0.25">
      <c r="A27" s="53">
        <f>A24+1</f>
        <v>10</v>
      </c>
      <c r="B27" s="78" t="s">
        <v>1894</v>
      </c>
      <c r="C27" s="53" t="s">
        <v>23</v>
      </c>
      <c r="D27" s="79">
        <v>50</v>
      </c>
      <c r="E27" s="145">
        <v>5</v>
      </c>
      <c r="F27" s="56">
        <f t="shared" ref="F27:F28" si="7">D27*E27</f>
        <v>250</v>
      </c>
      <c r="G27" s="56">
        <f t="shared" si="5"/>
        <v>42.5</v>
      </c>
      <c r="H27" s="129">
        <f t="shared" si="6"/>
        <v>5.85</v>
      </c>
      <c r="I27" s="56">
        <f t="shared" ref="I27:I28" si="8">H27*D27</f>
        <v>292.5</v>
      </c>
      <c r="J27" s="58"/>
    </row>
    <row r="28" spans="1:10" s="21" customFormat="1" x14ac:dyDescent="0.25">
      <c r="A28" s="53">
        <f t="shared" si="4"/>
        <v>11</v>
      </c>
      <c r="B28" s="78" t="s">
        <v>1895</v>
      </c>
      <c r="C28" s="53" t="s">
        <v>23</v>
      </c>
      <c r="D28" s="79">
        <v>50</v>
      </c>
      <c r="E28" s="145">
        <v>1.8</v>
      </c>
      <c r="F28" s="56">
        <f t="shared" si="7"/>
        <v>90</v>
      </c>
      <c r="G28" s="56">
        <f t="shared" si="5"/>
        <v>15.3</v>
      </c>
      <c r="H28" s="129">
        <f t="shared" si="6"/>
        <v>2.1059999999999999</v>
      </c>
      <c r="I28" s="56">
        <f t="shared" si="8"/>
        <v>105.3</v>
      </c>
      <c r="J28" s="58"/>
    </row>
    <row r="29" spans="1:10" s="21" customFormat="1" ht="25.5" x14ac:dyDescent="0.25">
      <c r="A29" s="53">
        <f>A26+1</f>
        <v>12</v>
      </c>
      <c r="B29" s="78" t="s">
        <v>948</v>
      </c>
      <c r="C29" s="53" t="s">
        <v>23</v>
      </c>
      <c r="D29" s="79">
        <v>24</v>
      </c>
      <c r="E29" s="145">
        <v>24.5</v>
      </c>
      <c r="F29" s="56">
        <f t="shared" si="0"/>
        <v>588</v>
      </c>
      <c r="G29" s="56">
        <f>F29*0</f>
        <v>0</v>
      </c>
      <c r="H29" s="129">
        <f>E29*1</f>
        <v>24.5</v>
      </c>
      <c r="I29" s="56">
        <f t="shared" si="1"/>
        <v>588</v>
      </c>
      <c r="J29" s="58"/>
    </row>
    <row r="30" spans="1:10" s="21" customFormat="1" ht="25.5" x14ac:dyDescent="0.25">
      <c r="A30" s="53">
        <f t="shared" si="4"/>
        <v>13</v>
      </c>
      <c r="B30" s="78" t="s">
        <v>1896</v>
      </c>
      <c r="C30" s="53" t="s">
        <v>23</v>
      </c>
      <c r="D30" s="79">
        <v>12</v>
      </c>
      <c r="E30" s="145">
        <v>32</v>
      </c>
      <c r="F30" s="56">
        <f t="shared" si="0"/>
        <v>384</v>
      </c>
      <c r="G30" s="56">
        <f t="shared" si="2"/>
        <v>65.28</v>
      </c>
      <c r="H30" s="129">
        <f t="shared" si="3"/>
        <v>37.44</v>
      </c>
      <c r="I30" s="56">
        <f t="shared" si="1"/>
        <v>449.28</v>
      </c>
      <c r="J30" s="58"/>
    </row>
    <row r="31" spans="1:10" s="21" customFormat="1" x14ac:dyDescent="0.25">
      <c r="A31" s="53"/>
      <c r="B31" s="47"/>
      <c r="C31" s="82"/>
      <c r="D31" s="57"/>
      <c r="E31" s="56"/>
      <c r="F31" s="56">
        <f t="shared" si="0"/>
        <v>0</v>
      </c>
      <c r="G31" s="56">
        <f t="shared" si="2"/>
        <v>0</v>
      </c>
      <c r="H31" s="129">
        <f t="shared" si="3"/>
        <v>0</v>
      </c>
      <c r="I31" s="56">
        <f t="shared" si="1"/>
        <v>0</v>
      </c>
      <c r="J31" s="58"/>
    </row>
    <row r="32" spans="1:10" ht="15.75" thickBot="1" x14ac:dyDescent="0.3">
      <c r="A32" s="33"/>
      <c r="B32" s="34" t="s">
        <v>24</v>
      </c>
      <c r="C32" s="35"/>
      <c r="D32" s="62">
        <f>SUM(D16:D31)</f>
        <v>616</v>
      </c>
      <c r="E32" s="35"/>
      <c r="F32" s="62">
        <f>SUM(F16:F31)</f>
        <v>17349</v>
      </c>
      <c r="G32" s="62">
        <f>SUM(G16:G31)</f>
        <v>2500.0200000000004</v>
      </c>
      <c r="H32" s="35"/>
      <c r="I32" s="62">
        <f>SUM(I16:I31)</f>
        <v>19849.019999999997</v>
      </c>
      <c r="J32" s="37"/>
    </row>
    <row r="33" spans="1:10" ht="15.75" thickTop="1" x14ac:dyDescent="0.25">
      <c r="A33" s="33"/>
      <c r="B33" s="34" t="s">
        <v>2055</v>
      </c>
      <c r="C33" s="35"/>
      <c r="D33" s="35"/>
      <c r="E33" s="35"/>
      <c r="F33" s="35"/>
      <c r="G33" s="35"/>
      <c r="H33" s="35"/>
      <c r="I33" s="35"/>
      <c r="J33" s="37"/>
    </row>
    <row r="34" spans="1:10" x14ac:dyDescent="0.25">
      <c r="A34" s="33"/>
      <c r="B34" s="38" t="s">
        <v>25</v>
      </c>
      <c r="C34" s="35"/>
      <c r="D34" s="35"/>
      <c r="E34" s="35"/>
      <c r="F34" s="35"/>
      <c r="G34" s="35"/>
      <c r="H34" s="35"/>
      <c r="I34" s="35"/>
      <c r="J34" s="37"/>
    </row>
    <row r="35" spans="1:10" ht="30" customHeight="1" x14ac:dyDescent="0.25">
      <c r="B35" s="183" t="s">
        <v>26</v>
      </c>
      <c r="C35" s="183"/>
      <c r="D35" s="183"/>
      <c r="E35" s="183"/>
      <c r="F35" s="183"/>
      <c r="G35" s="183"/>
      <c r="H35" s="183"/>
      <c r="I35" s="183"/>
      <c r="J35" s="183"/>
    </row>
    <row r="36" spans="1:10" x14ac:dyDescent="0.25">
      <c r="B36" t="s">
        <v>634</v>
      </c>
    </row>
    <row r="39" spans="1:10" x14ac:dyDescent="0.25">
      <c r="B39" t="s">
        <v>28</v>
      </c>
      <c r="H39" t="s">
        <v>28</v>
      </c>
    </row>
    <row r="40" spans="1:10" x14ac:dyDescent="0.25">
      <c r="B40" t="s">
        <v>29</v>
      </c>
      <c r="H40" t="s">
        <v>30</v>
      </c>
    </row>
  </sheetData>
  <autoFilter ref="A15:J36" xr:uid="{00000000-0009-0000-0000-000000000000}"/>
  <mergeCells count="5">
    <mergeCell ref="A6:J6"/>
    <mergeCell ref="I7:J7"/>
    <mergeCell ref="I8:J8"/>
    <mergeCell ref="I9:J9"/>
    <mergeCell ref="B35:J35"/>
  </mergeCells>
  <hyperlinks>
    <hyperlink ref="H5" r:id="rId1" xr:uid="{676CB70D-0747-4792-BCA7-BE12AA63FC05}"/>
  </hyperlinks>
  <pageMargins left="0.2" right="0.1" top="0.25" bottom="0.25" header="0.3" footer="0.3"/>
  <pageSetup paperSize="9" orientation="portrait" r:id="rId2"/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E09ED-6B9A-4D41-9E28-8D77F4E6DDB4}">
  <dimension ref="A1:R39"/>
  <sheetViews>
    <sheetView workbookViewId="0">
      <selection activeCell="F10" sqref="F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2037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2041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2042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x14ac:dyDescent="0.25">
      <c r="A16" s="53">
        <v>1</v>
      </c>
      <c r="B16" s="78" t="s">
        <v>1259</v>
      </c>
      <c r="C16" s="53" t="s">
        <v>1234</v>
      </c>
      <c r="D16" s="79">
        <v>17</v>
      </c>
      <c r="E16" s="82">
        <v>210</v>
      </c>
      <c r="F16" s="56">
        <f t="shared" ref="F16:F29" si="0">D16*E16</f>
        <v>3570</v>
      </c>
      <c r="G16" s="56">
        <f>F16*0.17</f>
        <v>606.90000000000009</v>
      </c>
      <c r="H16" s="74">
        <f>E16*1.17</f>
        <v>245.7</v>
      </c>
      <c r="I16" s="56">
        <f t="shared" ref="I16:I29" si="1">H16*D16</f>
        <v>4176.8999999999996</v>
      </c>
      <c r="J16" s="131" t="s">
        <v>1760</v>
      </c>
      <c r="M16" s="21">
        <f t="shared" ref="M16:M30" si="2">440*1.02</f>
        <v>448.8</v>
      </c>
      <c r="N16" s="66" t="e">
        <f>M16-#REF!</f>
        <v>#REF!</v>
      </c>
      <c r="O16" s="21" t="e">
        <f t="shared" ref="O16:O30" si="3">N16*D16</f>
        <v>#REF!</v>
      </c>
    </row>
    <row r="17" spans="1:15" s="21" customFormat="1" x14ac:dyDescent="0.25">
      <c r="A17" s="53">
        <f>A16+1</f>
        <v>2</v>
      </c>
      <c r="B17" s="78" t="s">
        <v>1979</v>
      </c>
      <c r="C17" s="53" t="s">
        <v>2015</v>
      </c>
      <c r="D17" s="79">
        <v>53</v>
      </c>
      <c r="E17" s="82">
        <v>180</v>
      </c>
      <c r="F17" s="56">
        <f t="shared" si="0"/>
        <v>9540</v>
      </c>
      <c r="G17" s="56">
        <f>F17*0.17</f>
        <v>1621.8000000000002</v>
      </c>
      <c r="H17" s="74">
        <f>E17*1.17</f>
        <v>210.6</v>
      </c>
      <c r="I17" s="56">
        <f t="shared" si="1"/>
        <v>11161.8</v>
      </c>
      <c r="J17" s="131" t="s">
        <v>1762</v>
      </c>
      <c r="M17" s="21">
        <f t="shared" si="2"/>
        <v>448.8</v>
      </c>
      <c r="N17" s="66" t="e">
        <f>M17-#REF!</f>
        <v>#REF!</v>
      </c>
      <c r="O17" s="21" t="e">
        <f t="shared" ref="O17:O21" si="4">N17*D17</f>
        <v>#REF!</v>
      </c>
    </row>
    <row r="18" spans="1:15" s="21" customFormat="1" x14ac:dyDescent="0.25">
      <c r="A18" s="53">
        <f t="shared" ref="A18:A29" si="5">A17+1</f>
        <v>3</v>
      </c>
      <c r="B18" s="78" t="s">
        <v>499</v>
      </c>
      <c r="C18" s="53" t="s">
        <v>1234</v>
      </c>
      <c r="D18" s="79">
        <v>48</v>
      </c>
      <c r="E18" s="82">
        <v>45</v>
      </c>
      <c r="F18" s="56">
        <f t="shared" si="0"/>
        <v>2160</v>
      </c>
      <c r="G18" s="56">
        <f>F18*0.17</f>
        <v>367.20000000000005</v>
      </c>
      <c r="H18" s="74">
        <f>E18*1.17</f>
        <v>52.65</v>
      </c>
      <c r="I18" s="56">
        <f t="shared" si="1"/>
        <v>2527.1999999999998</v>
      </c>
      <c r="J18" s="131" t="s">
        <v>1763</v>
      </c>
      <c r="M18" s="21">
        <f t="shared" si="2"/>
        <v>448.8</v>
      </c>
      <c r="N18" s="66" t="e">
        <f>M18-#REF!</f>
        <v>#REF!</v>
      </c>
      <c r="O18" s="21" t="e">
        <f t="shared" si="4"/>
        <v>#REF!</v>
      </c>
    </row>
    <row r="19" spans="1:15" s="21" customFormat="1" x14ac:dyDescent="0.25">
      <c r="A19" s="53">
        <f t="shared" si="5"/>
        <v>4</v>
      </c>
      <c r="B19" s="78" t="s">
        <v>1631</v>
      </c>
      <c r="C19" s="53" t="s">
        <v>1234</v>
      </c>
      <c r="D19" s="79">
        <v>86</v>
      </c>
      <c r="E19" s="82">
        <v>20</v>
      </c>
      <c r="F19" s="56">
        <f t="shared" si="0"/>
        <v>1720</v>
      </c>
      <c r="G19" s="56">
        <f>F19*0.17</f>
        <v>292.40000000000003</v>
      </c>
      <c r="H19" s="74">
        <f>E19*1.17</f>
        <v>23.4</v>
      </c>
      <c r="I19" s="56">
        <f t="shared" si="1"/>
        <v>2012.3999999999999</v>
      </c>
      <c r="J19" s="131" t="s">
        <v>2047</v>
      </c>
      <c r="M19" s="21">
        <f t="shared" si="2"/>
        <v>448.8</v>
      </c>
      <c r="N19" s="66" t="e">
        <f>M19-#REF!</f>
        <v>#REF!</v>
      </c>
      <c r="O19" s="21" t="e">
        <f t="shared" si="4"/>
        <v>#REF!</v>
      </c>
    </row>
    <row r="20" spans="1:15" s="21" customFormat="1" x14ac:dyDescent="0.25">
      <c r="A20" s="53">
        <f t="shared" si="5"/>
        <v>5</v>
      </c>
      <c r="B20" s="78" t="s">
        <v>2043</v>
      </c>
      <c r="C20" s="53" t="s">
        <v>1234</v>
      </c>
      <c r="D20" s="79">
        <v>96</v>
      </c>
      <c r="E20" s="82">
        <v>28</v>
      </c>
      <c r="F20" s="56">
        <f t="shared" si="0"/>
        <v>2688</v>
      </c>
      <c r="G20" s="56">
        <f>F20*0.17</f>
        <v>456.96000000000004</v>
      </c>
      <c r="H20" s="74">
        <f>E20*1.17</f>
        <v>32.76</v>
      </c>
      <c r="I20" s="56">
        <f t="shared" si="1"/>
        <v>3144.96</v>
      </c>
      <c r="J20" s="131" t="s">
        <v>2047</v>
      </c>
      <c r="M20" s="21">
        <f t="shared" si="2"/>
        <v>448.8</v>
      </c>
      <c r="N20" s="66" t="e">
        <f>M20-#REF!</f>
        <v>#REF!</v>
      </c>
      <c r="O20" s="21" t="e">
        <f t="shared" si="4"/>
        <v>#REF!</v>
      </c>
    </row>
    <row r="21" spans="1:15" s="21" customFormat="1" x14ac:dyDescent="0.25">
      <c r="A21" s="53">
        <f t="shared" si="5"/>
        <v>6</v>
      </c>
      <c r="B21" s="78" t="s">
        <v>69</v>
      </c>
      <c r="C21" s="53" t="s">
        <v>1234</v>
      </c>
      <c r="D21" s="79">
        <v>122</v>
      </c>
      <c r="E21" s="82">
        <v>7</v>
      </c>
      <c r="F21" s="56">
        <f t="shared" si="0"/>
        <v>854</v>
      </c>
      <c r="G21" s="56">
        <f>F21*0</f>
        <v>0</v>
      </c>
      <c r="H21" s="74">
        <f>E21*1</f>
        <v>7</v>
      </c>
      <c r="I21" s="56">
        <f t="shared" si="1"/>
        <v>854</v>
      </c>
      <c r="J21" s="131" t="s">
        <v>2046</v>
      </c>
      <c r="M21" s="21">
        <f t="shared" si="2"/>
        <v>448.8</v>
      </c>
      <c r="N21" s="66" t="e">
        <f>M21-#REF!</f>
        <v>#REF!</v>
      </c>
      <c r="O21" s="21" t="e">
        <f t="shared" si="4"/>
        <v>#REF!</v>
      </c>
    </row>
    <row r="22" spans="1:15" s="21" customFormat="1" x14ac:dyDescent="0.25">
      <c r="A22" s="53">
        <v>7</v>
      </c>
      <c r="B22" s="78" t="s">
        <v>1320</v>
      </c>
      <c r="C22" s="53" t="s">
        <v>1234</v>
      </c>
      <c r="D22" s="79">
        <v>14</v>
      </c>
      <c r="E22" s="82">
        <v>320</v>
      </c>
      <c r="F22" s="56">
        <f t="shared" si="0"/>
        <v>4480</v>
      </c>
      <c r="G22" s="56">
        <f>F22*0.17</f>
        <v>761.6</v>
      </c>
      <c r="H22" s="74">
        <f>E22*1.17</f>
        <v>374.4</v>
      </c>
      <c r="I22" s="56">
        <f t="shared" si="1"/>
        <v>5241.5999999999995</v>
      </c>
      <c r="J22" s="131" t="s">
        <v>1762</v>
      </c>
      <c r="M22" s="21">
        <f t="shared" si="2"/>
        <v>448.8</v>
      </c>
      <c r="N22" s="66" t="e">
        <f>M22-#REF!</f>
        <v>#REF!</v>
      </c>
      <c r="O22" s="21" t="e">
        <f t="shared" si="3"/>
        <v>#REF!</v>
      </c>
    </row>
    <row r="23" spans="1:15" s="21" customFormat="1" x14ac:dyDescent="0.25">
      <c r="A23" s="53">
        <f t="shared" si="5"/>
        <v>8</v>
      </c>
      <c r="B23" s="78" t="s">
        <v>2044</v>
      </c>
      <c r="C23" s="53" t="s">
        <v>1234</v>
      </c>
      <c r="D23" s="79">
        <v>443</v>
      </c>
      <c r="E23" s="82">
        <v>32</v>
      </c>
      <c r="F23" s="56">
        <f t="shared" si="0"/>
        <v>14176</v>
      </c>
      <c r="G23" s="56">
        <f>F23*0.17</f>
        <v>2409.92</v>
      </c>
      <c r="H23" s="74">
        <f>E23*1.17</f>
        <v>37.44</v>
      </c>
      <c r="I23" s="56">
        <f t="shared" si="1"/>
        <v>16585.919999999998</v>
      </c>
      <c r="J23" s="131" t="s">
        <v>2048</v>
      </c>
      <c r="M23" s="21">
        <f t="shared" si="2"/>
        <v>448.8</v>
      </c>
      <c r="N23" s="66" t="e">
        <f>M23-#REF!</f>
        <v>#REF!</v>
      </c>
      <c r="O23" s="21" t="e">
        <f t="shared" si="3"/>
        <v>#REF!</v>
      </c>
    </row>
    <row r="24" spans="1:15" s="21" customFormat="1" x14ac:dyDescent="0.25">
      <c r="A24" s="53">
        <f t="shared" si="5"/>
        <v>9</v>
      </c>
      <c r="B24" s="78" t="s">
        <v>2045</v>
      </c>
      <c r="C24" s="53" t="s">
        <v>1234</v>
      </c>
      <c r="D24" s="79">
        <v>1194</v>
      </c>
      <c r="E24" s="82">
        <v>25</v>
      </c>
      <c r="F24" s="56">
        <f t="shared" si="0"/>
        <v>29850</v>
      </c>
      <c r="G24" s="56">
        <f>F24*0</f>
        <v>0</v>
      </c>
      <c r="H24" s="74">
        <f>E24*1</f>
        <v>25</v>
      </c>
      <c r="I24" s="56">
        <f t="shared" si="1"/>
        <v>29850</v>
      </c>
      <c r="J24" s="131" t="s">
        <v>1921</v>
      </c>
      <c r="M24" s="21">
        <f t="shared" si="2"/>
        <v>448.8</v>
      </c>
      <c r="N24" s="66" t="e">
        <f>M24-#REF!</f>
        <v>#REF!</v>
      </c>
      <c r="O24" s="21" t="e">
        <f t="shared" ref="O24:O25" si="6">N24*D24</f>
        <v>#REF!</v>
      </c>
    </row>
    <row r="25" spans="1:15" s="21" customFormat="1" x14ac:dyDescent="0.25">
      <c r="A25" s="53">
        <f t="shared" si="5"/>
        <v>10</v>
      </c>
      <c r="B25" s="78" t="s">
        <v>1967</v>
      </c>
      <c r="C25" s="53" t="s">
        <v>1234</v>
      </c>
      <c r="D25" s="79">
        <v>300</v>
      </c>
      <c r="E25" s="82">
        <v>28</v>
      </c>
      <c r="F25" s="56">
        <f t="shared" si="0"/>
        <v>8400</v>
      </c>
      <c r="G25" s="56">
        <f>F25*0.17</f>
        <v>1428</v>
      </c>
      <c r="H25" s="74">
        <f>E25*1.17</f>
        <v>32.76</v>
      </c>
      <c r="I25" s="56">
        <f t="shared" si="1"/>
        <v>9828</v>
      </c>
      <c r="J25" s="131" t="s">
        <v>1762</v>
      </c>
      <c r="M25" s="21">
        <f t="shared" si="2"/>
        <v>448.8</v>
      </c>
      <c r="N25" s="66" t="e">
        <f>M25-#REF!</f>
        <v>#REF!</v>
      </c>
      <c r="O25" s="21" t="e">
        <f t="shared" si="6"/>
        <v>#REF!</v>
      </c>
    </row>
    <row r="26" spans="1:15" s="21" customFormat="1" x14ac:dyDescent="0.25">
      <c r="A26" s="53">
        <f t="shared" si="5"/>
        <v>11</v>
      </c>
      <c r="B26" s="78" t="s">
        <v>1251</v>
      </c>
      <c r="C26" s="53" t="s">
        <v>1234</v>
      </c>
      <c r="D26" s="79">
        <v>63</v>
      </c>
      <c r="E26" s="82">
        <v>35</v>
      </c>
      <c r="F26" s="56">
        <f t="shared" si="0"/>
        <v>2205</v>
      </c>
      <c r="G26" s="56">
        <f>F26*0.17</f>
        <v>374.85</v>
      </c>
      <c r="H26" s="74">
        <f>E26*1.17</f>
        <v>40.949999999999996</v>
      </c>
      <c r="I26" s="56">
        <f t="shared" si="1"/>
        <v>2579.85</v>
      </c>
      <c r="J26" s="131" t="s">
        <v>1760</v>
      </c>
      <c r="M26" s="21">
        <f t="shared" si="2"/>
        <v>448.8</v>
      </c>
      <c r="N26" s="66" t="e">
        <f>M26-#REF!</f>
        <v>#REF!</v>
      </c>
      <c r="O26" s="21" t="e">
        <f t="shared" ref="O26:O27" si="7">N26*D26</f>
        <v>#REF!</v>
      </c>
    </row>
    <row r="27" spans="1:15" s="21" customFormat="1" x14ac:dyDescent="0.25">
      <c r="A27" s="53">
        <f t="shared" si="5"/>
        <v>12</v>
      </c>
      <c r="B27" s="78" t="s">
        <v>177</v>
      </c>
      <c r="C27" s="53" t="s">
        <v>1234</v>
      </c>
      <c r="D27" s="79">
        <v>41</v>
      </c>
      <c r="E27" s="82">
        <v>25</v>
      </c>
      <c r="F27" s="56">
        <f t="shared" si="0"/>
        <v>1025</v>
      </c>
      <c r="G27" s="56">
        <f>F27*0.17</f>
        <v>174.25</v>
      </c>
      <c r="H27" s="74">
        <f>E27*1.17</f>
        <v>29.25</v>
      </c>
      <c r="I27" s="56">
        <f t="shared" si="1"/>
        <v>1199.25</v>
      </c>
      <c r="J27" s="131" t="s">
        <v>2047</v>
      </c>
      <c r="M27" s="21">
        <f t="shared" si="2"/>
        <v>448.8</v>
      </c>
      <c r="N27" s="66" t="e">
        <f>M27-#REF!</f>
        <v>#REF!</v>
      </c>
      <c r="O27" s="21" t="e">
        <f t="shared" si="7"/>
        <v>#REF!</v>
      </c>
    </row>
    <row r="28" spans="1:15" s="21" customFormat="1" x14ac:dyDescent="0.25">
      <c r="A28" s="53">
        <f t="shared" si="5"/>
        <v>13</v>
      </c>
      <c r="B28" s="78" t="s">
        <v>1463</v>
      </c>
      <c r="C28" s="53" t="s">
        <v>1234</v>
      </c>
      <c r="D28" s="79">
        <v>17</v>
      </c>
      <c r="E28" s="82">
        <v>180</v>
      </c>
      <c r="F28" s="56">
        <f t="shared" si="0"/>
        <v>3060</v>
      </c>
      <c r="G28" s="56">
        <f>F28*0.17</f>
        <v>520.20000000000005</v>
      </c>
      <c r="H28" s="74">
        <f>E28*1.17</f>
        <v>210.6</v>
      </c>
      <c r="I28" s="56">
        <f t="shared" si="1"/>
        <v>3580.2</v>
      </c>
      <c r="J28" s="131" t="s">
        <v>1763</v>
      </c>
      <c r="M28" s="21">
        <f t="shared" si="2"/>
        <v>448.8</v>
      </c>
      <c r="N28" s="66" t="e">
        <f>M28-#REF!</f>
        <v>#REF!</v>
      </c>
      <c r="O28" s="21" t="e">
        <f t="shared" si="3"/>
        <v>#REF!</v>
      </c>
    </row>
    <row r="29" spans="1:15" s="21" customFormat="1" x14ac:dyDescent="0.25">
      <c r="A29" s="53">
        <f t="shared" si="5"/>
        <v>14</v>
      </c>
      <c r="B29" s="78" t="s">
        <v>1966</v>
      </c>
      <c r="C29" s="53" t="s">
        <v>1234</v>
      </c>
      <c r="D29" s="79">
        <v>44</v>
      </c>
      <c r="E29" s="82">
        <v>25</v>
      </c>
      <c r="F29" s="56">
        <f t="shared" si="0"/>
        <v>1100</v>
      </c>
      <c r="G29" s="56">
        <f>F29*0.17</f>
        <v>187</v>
      </c>
      <c r="H29" s="74">
        <f>E29*1.17</f>
        <v>29.25</v>
      </c>
      <c r="I29" s="56">
        <f t="shared" si="1"/>
        <v>1287</v>
      </c>
      <c r="J29" s="131" t="s">
        <v>1762</v>
      </c>
      <c r="M29" s="21">
        <f t="shared" si="2"/>
        <v>448.8</v>
      </c>
      <c r="N29" s="66" t="e">
        <f>M29-#REF!</f>
        <v>#REF!</v>
      </c>
      <c r="O29" s="21" t="e">
        <f t="shared" ref="O29" si="8">N29*D29</f>
        <v>#REF!</v>
      </c>
    </row>
    <row r="30" spans="1:15" s="21" customFormat="1" x14ac:dyDescent="0.25">
      <c r="A30" s="53"/>
      <c r="B30" s="47"/>
      <c r="C30" s="82"/>
      <c r="D30" s="57"/>
      <c r="E30" s="56"/>
      <c r="F30" s="56">
        <f t="shared" ref="F30" si="9">D30*E30</f>
        <v>0</v>
      </c>
      <c r="G30" s="56">
        <f t="shared" ref="G30" si="10">F30*0.17</f>
        <v>0</v>
      </c>
      <c r="H30" s="57">
        <f t="shared" ref="H30" si="11">E30*1.17</f>
        <v>0</v>
      </c>
      <c r="I30" s="56">
        <f t="shared" ref="I30" si="12">H30*D30</f>
        <v>0</v>
      </c>
      <c r="J30" s="58"/>
      <c r="M30" s="21">
        <f t="shared" si="2"/>
        <v>448.8</v>
      </c>
      <c r="N30" s="66" t="e">
        <f>M30-#REF!</f>
        <v>#REF!</v>
      </c>
      <c r="O30" s="21" t="e">
        <f t="shared" si="3"/>
        <v>#REF!</v>
      </c>
    </row>
    <row r="31" spans="1:15" ht="15.75" thickBot="1" x14ac:dyDescent="0.3">
      <c r="A31" s="33"/>
      <c r="B31" s="34" t="s">
        <v>24</v>
      </c>
      <c r="C31" s="35"/>
      <c r="D31" s="62">
        <f>SUM(D16:D30)</f>
        <v>2538</v>
      </c>
      <c r="E31" s="35"/>
      <c r="F31" s="62">
        <f>SUM(F16:F30)</f>
        <v>84828</v>
      </c>
      <c r="G31" s="62">
        <f>SUM(G16:G30)</f>
        <v>9201.0800000000017</v>
      </c>
      <c r="H31" s="35"/>
      <c r="I31" s="62">
        <f>SUM(I16:I30)</f>
        <v>94029.08</v>
      </c>
      <c r="J31" s="37"/>
      <c r="M31" t="e">
        <f>#REF!/117*100</f>
        <v>#REF!</v>
      </c>
      <c r="O31" t="e">
        <f>M31*1.1</f>
        <v>#REF!</v>
      </c>
    </row>
    <row r="32" spans="1:15" ht="15.75" thickTop="1" x14ac:dyDescent="0.25">
      <c r="A32" s="33"/>
      <c r="B32" s="34" t="s">
        <v>2049</v>
      </c>
      <c r="C32" s="35"/>
      <c r="D32" s="35"/>
      <c r="E32" s="35"/>
      <c r="F32" s="35"/>
      <c r="G32" s="35"/>
      <c r="H32" s="35"/>
      <c r="I32" s="35"/>
      <c r="J32" s="37"/>
    </row>
    <row r="33" spans="1:18" x14ac:dyDescent="0.25">
      <c r="A33" s="33"/>
      <c r="B33" s="38" t="s">
        <v>25</v>
      </c>
      <c r="C33" s="35"/>
      <c r="D33" s="35"/>
      <c r="E33" s="35"/>
      <c r="F33" s="35"/>
      <c r="G33" s="35"/>
      <c r="H33" s="35"/>
      <c r="I33" s="35"/>
      <c r="J33" s="37"/>
      <c r="M33" s="64" t="e">
        <f>M31*#REF!</f>
        <v>#REF!</v>
      </c>
      <c r="O33" s="65" t="e">
        <f>#REF!</f>
        <v>#REF!</v>
      </c>
      <c r="P33" s="64" t="e">
        <f>O33-M33</f>
        <v>#REF!</v>
      </c>
      <c r="Q33" s="64" t="e">
        <f>#REF!*0.045</f>
        <v>#REF!</v>
      </c>
      <c r="R33" s="64" t="e">
        <f>P33-Q33</f>
        <v>#REF!</v>
      </c>
    </row>
    <row r="34" spans="1:18" ht="30" customHeight="1" x14ac:dyDescent="0.25">
      <c r="B34" s="183" t="s">
        <v>26</v>
      </c>
      <c r="C34" s="183"/>
      <c r="D34" s="183"/>
      <c r="E34" s="183"/>
      <c r="F34" s="183"/>
      <c r="G34" s="183"/>
      <c r="H34" s="183"/>
      <c r="I34" s="183"/>
      <c r="J34" s="183"/>
      <c r="P34" s="64"/>
      <c r="R34" s="65" t="e">
        <f>#REF!-#REF!</f>
        <v>#REF!</v>
      </c>
    </row>
    <row r="35" spans="1:18" x14ac:dyDescent="0.25">
      <c r="B35" t="s">
        <v>634</v>
      </c>
    </row>
    <row r="38" spans="1:18" x14ac:dyDescent="0.25">
      <c r="B38" t="s">
        <v>28</v>
      </c>
      <c r="H38" t="s">
        <v>28</v>
      </c>
    </row>
    <row r="39" spans="1:18" x14ac:dyDescent="0.25">
      <c r="B39" t="s">
        <v>29</v>
      </c>
      <c r="H39" t="s">
        <v>30</v>
      </c>
    </row>
  </sheetData>
  <autoFilter ref="A15:J35" xr:uid="{00000000-0009-0000-0000-000000000000}"/>
  <mergeCells count="5">
    <mergeCell ref="A6:J6"/>
    <mergeCell ref="I7:J7"/>
    <mergeCell ref="I8:J8"/>
    <mergeCell ref="I9:J9"/>
    <mergeCell ref="B34:J34"/>
  </mergeCells>
  <hyperlinks>
    <hyperlink ref="H5" r:id="rId1" xr:uid="{8DDF1EAA-88D2-4301-9A45-EBB59AE1D9DB}"/>
  </hyperlinks>
  <pageMargins left="0.2" right="0.1" top="0.25" bottom="0.25" header="0.3" footer="0.3"/>
  <pageSetup paperSize="9" orientation="portrait" r:id="rId2"/>
  <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ECDC3-1F51-45CC-A4B6-2310BBFDBEA4}">
  <dimension ref="A1:R26"/>
  <sheetViews>
    <sheetView topLeftCell="A2" workbookViewId="0">
      <selection activeCell="F19" sqref="F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2037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2036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2038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x14ac:dyDescent="0.25">
      <c r="A16" s="53">
        <v>1</v>
      </c>
      <c r="B16" s="78" t="s">
        <v>2039</v>
      </c>
      <c r="C16" s="53" t="s">
        <v>1234</v>
      </c>
      <c r="D16" s="79">
        <v>10</v>
      </c>
      <c r="E16" s="82">
        <v>550</v>
      </c>
      <c r="F16" s="56">
        <f>D16*E16</f>
        <v>5500</v>
      </c>
      <c r="G16" s="56">
        <f>F16*0.17</f>
        <v>935.00000000000011</v>
      </c>
      <c r="H16" s="74">
        <f>E16*1.17</f>
        <v>643.5</v>
      </c>
      <c r="I16" s="56">
        <f>H16*D16</f>
        <v>6435</v>
      </c>
      <c r="J16" s="131" t="s">
        <v>1763</v>
      </c>
      <c r="M16" s="21">
        <f t="shared" ref="M16:M17" si="0">440*1.02</f>
        <v>448.8</v>
      </c>
      <c r="N16" s="66" t="e">
        <f>M16-#REF!</f>
        <v>#REF!</v>
      </c>
      <c r="O16" s="21" t="e">
        <f t="shared" ref="O16:O17" si="1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ref="F17" si="2">D17*E17</f>
        <v>0</v>
      </c>
      <c r="G17" s="56">
        <f t="shared" ref="G17" si="3">F17*0.17</f>
        <v>0</v>
      </c>
      <c r="H17" s="57">
        <f t="shared" ref="H17" si="4">E17*1.17</f>
        <v>0</v>
      </c>
      <c r="I17" s="56">
        <f t="shared" ref="I17" si="5">H17*D17</f>
        <v>0</v>
      </c>
      <c r="J17" s="58"/>
      <c r="M17" s="21">
        <f t="shared" si="0"/>
        <v>448.8</v>
      </c>
      <c r="N17" s="66" t="e">
        <f>M17-#REF!</f>
        <v>#REF!</v>
      </c>
      <c r="O17" s="21" t="e">
        <f t="shared" si="1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10</v>
      </c>
      <c r="E18" s="35"/>
      <c r="F18" s="62">
        <f>SUM(F16:F17)</f>
        <v>5500</v>
      </c>
      <c r="G18" s="62">
        <f>SUM(G16:G17)</f>
        <v>935.00000000000011</v>
      </c>
      <c r="H18" s="35"/>
      <c r="I18" s="62">
        <f>SUM(I16:I17)</f>
        <v>6435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2040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14007A7F-9D2B-4058-85D9-58215628C98E}"/>
  </hyperlinks>
  <pageMargins left="0.2" right="0.1" top="0.25" bottom="0.25" header="0.3" footer="0.3"/>
  <pageSetup paperSize="9" orientation="portrait" r:id="rId2"/>
  <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25A7F-B324-44E6-9CE6-9E37A378909D}">
  <dimension ref="A1:J26"/>
  <sheetViews>
    <sheetView workbookViewId="0">
      <selection activeCell="C17" sqref="C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2033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2032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2034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1089</v>
      </c>
      <c r="C16" s="54" t="s">
        <v>23</v>
      </c>
      <c r="D16" s="72">
        <v>100</v>
      </c>
      <c r="E16" s="85">
        <v>340</v>
      </c>
      <c r="F16" s="56">
        <f t="shared" ref="F16" si="0">D16*E16</f>
        <v>34000</v>
      </c>
      <c r="G16" s="56">
        <f>F16*0.17</f>
        <v>5780</v>
      </c>
      <c r="H16" s="130">
        <f>E16*1.17</f>
        <v>397.79999999999995</v>
      </c>
      <c r="I16" s="56">
        <f t="shared" ref="I16" si="1">H16*D16</f>
        <v>39779.999999999993</v>
      </c>
      <c r="J16" s="58"/>
    </row>
    <row r="17" spans="1:10" s="21" customFormat="1" x14ac:dyDescent="0.25">
      <c r="A17" s="53"/>
      <c r="B17" s="47"/>
      <c r="C17" s="54"/>
      <c r="D17" s="72"/>
      <c r="E17" s="56"/>
      <c r="F17" s="56"/>
      <c r="G17" s="56"/>
      <c r="H17" s="84"/>
      <c r="I17" s="56"/>
      <c r="J17" s="58"/>
    </row>
    <row r="18" spans="1:10" ht="15.75" thickBot="1" x14ac:dyDescent="0.3">
      <c r="A18" s="33"/>
      <c r="B18" s="34" t="s">
        <v>24</v>
      </c>
      <c r="C18" s="35"/>
      <c r="D18" s="73">
        <f>SUM(D16:D16)</f>
        <v>100</v>
      </c>
      <c r="E18" s="35"/>
      <c r="F18" s="73">
        <f>SUM(F16:F16)</f>
        <v>34000</v>
      </c>
      <c r="G18" s="73">
        <f>SUM(G16:G16)</f>
        <v>5780</v>
      </c>
      <c r="H18" s="35"/>
      <c r="I18" s="73">
        <f>SUM(I16:I16)</f>
        <v>39779.999999999993</v>
      </c>
      <c r="J18" s="37"/>
    </row>
    <row r="19" spans="1:10" ht="15.75" thickTop="1" x14ac:dyDescent="0.25">
      <c r="A19" s="33"/>
      <c r="B19" s="34" t="s">
        <v>2035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634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13D18DF1-D6DE-45F1-A8BF-D8601EDF4461}"/>
  </hyperlinks>
  <pageMargins left="0.2" right="0.1" top="0.25" bottom="0.25" header="0.3" footer="0.3"/>
  <pageSetup paperSize="9" orientation="portrait" r:id="rId2"/>
  <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3185C-F8D9-4D1C-B0C3-725D4D5AC03C}">
  <dimension ref="A1:R26"/>
  <sheetViews>
    <sheetView topLeftCell="A4" workbookViewId="0">
      <selection activeCell="E16" sqref="E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2000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2030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1927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1405</v>
      </c>
      <c r="C16" s="53" t="s">
        <v>987</v>
      </c>
      <c r="D16" s="79">
        <v>1</v>
      </c>
      <c r="E16" s="56">
        <v>687</v>
      </c>
      <c r="F16" s="56">
        <f>D16*E16</f>
        <v>687</v>
      </c>
      <c r="G16" s="56">
        <f>F16*0.17</f>
        <v>116.79</v>
      </c>
      <c r="H16" s="125">
        <f>E16*1.17</f>
        <v>803.79</v>
      </c>
      <c r="I16" s="56">
        <f t="shared" ref="I16" si="0">H16*D16</f>
        <v>803.79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1</v>
      </c>
      <c r="E18" s="35"/>
      <c r="F18" s="62">
        <f>SUM(F16:F17)</f>
        <v>687</v>
      </c>
      <c r="G18" s="62">
        <f>SUM(G16:G17)</f>
        <v>116.79</v>
      </c>
      <c r="H18" s="35"/>
      <c r="I18" s="62">
        <f>SUM(I16:I17)</f>
        <v>803.79</v>
      </c>
      <c r="J18" s="37"/>
    </row>
    <row r="19" spans="1:18" ht="15.75" thickTop="1" x14ac:dyDescent="0.25">
      <c r="A19" s="33"/>
      <c r="B19" s="34" t="s">
        <v>2031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F9F22ABB-1CAB-4353-88E8-81B085FBFC05}"/>
  </hyperlinks>
  <pageMargins left="0.2" right="0.1" top="0.25" bottom="0.25" header="0.3" footer="0.3"/>
  <pageSetup paperSize="9" orientation="portrait" r:id="rId2"/>
  <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935F7-BB99-4EEA-9A8E-504504206F55}">
  <dimension ref="A1:R26"/>
  <sheetViews>
    <sheetView workbookViewId="0">
      <selection activeCell="A20" sqref="A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2000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2027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2029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1391</v>
      </c>
      <c r="C16" s="53" t="s">
        <v>987</v>
      </c>
      <c r="D16" s="79">
        <v>7</v>
      </c>
      <c r="E16" s="56">
        <v>180</v>
      </c>
      <c r="F16" s="56">
        <f>D16*E16</f>
        <v>1260</v>
      </c>
      <c r="G16" s="56">
        <f>F16*0.17</f>
        <v>214.20000000000002</v>
      </c>
      <c r="H16" s="125">
        <f>E16*1.17</f>
        <v>210.6</v>
      </c>
      <c r="I16" s="56">
        <f t="shared" ref="I16" si="0">H16*D16</f>
        <v>1474.2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7</v>
      </c>
      <c r="E18" s="35"/>
      <c r="F18" s="62">
        <f>SUM(F16:F17)</f>
        <v>1260</v>
      </c>
      <c r="G18" s="62">
        <f>SUM(G16:G17)</f>
        <v>214.20000000000002</v>
      </c>
      <c r="H18" s="35"/>
      <c r="I18" s="62">
        <f>SUM(I16:I17)</f>
        <v>1474.2</v>
      </c>
      <c r="J18" s="37"/>
    </row>
    <row r="19" spans="1:18" ht="15.75" thickTop="1" x14ac:dyDescent="0.25">
      <c r="A19" s="33"/>
      <c r="B19" s="34" t="s">
        <v>2028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B66BB8FE-AAF7-4EA9-808A-63963AACF5D8}"/>
  </hyperlinks>
  <pageMargins left="0.2" right="0.1" top="0.25" bottom="0.2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E15F0-3FBB-49E4-9F9E-B98FFACBB040}">
  <dimension ref="A1:R26"/>
  <sheetViews>
    <sheetView topLeftCell="A4" workbookViewId="0">
      <selection activeCell="A6" sqref="A6:J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2312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2313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2321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2326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2325</v>
      </c>
      <c r="J9" s="188"/>
    </row>
    <row r="10" spans="1:14" x14ac:dyDescent="0.25">
      <c r="B10" t="s">
        <v>9</v>
      </c>
      <c r="C10" s="139" t="s">
        <v>2320</v>
      </c>
      <c r="D10" s="10"/>
      <c r="E10" s="10"/>
      <c r="F10" s="10"/>
    </row>
    <row r="11" spans="1:14" x14ac:dyDescent="0.25">
      <c r="B11" t="s">
        <v>11</v>
      </c>
      <c r="C11" s="132" t="s">
        <v>2323</v>
      </c>
      <c r="D11" s="11"/>
      <c r="E11" s="11"/>
      <c r="F11" s="11"/>
    </row>
    <row r="12" spans="1:14" x14ac:dyDescent="0.25">
      <c r="A12" s="12"/>
      <c r="B12" s="13"/>
      <c r="C12" s="140" t="s">
        <v>2324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189" t="s">
        <v>14</v>
      </c>
      <c r="C15" s="189"/>
      <c r="D15" s="76" t="s">
        <v>15</v>
      </c>
      <c r="E15" s="76" t="s">
        <v>16</v>
      </c>
      <c r="F15" s="76" t="s">
        <v>18</v>
      </c>
      <c r="G15" s="76" t="s">
        <v>1083</v>
      </c>
      <c r="H15" s="76" t="s">
        <v>21</v>
      </c>
      <c r="I15" s="190" t="s">
        <v>22</v>
      </c>
      <c r="J15" s="191"/>
    </row>
    <row r="16" spans="1:14" s="21" customFormat="1" ht="15.75" customHeight="1" x14ac:dyDescent="0.25">
      <c r="A16" s="53">
        <v>1</v>
      </c>
      <c r="B16" s="180" t="s">
        <v>2318</v>
      </c>
      <c r="C16" s="180"/>
      <c r="D16" s="53" t="s">
        <v>23</v>
      </c>
      <c r="E16" s="79">
        <v>152</v>
      </c>
      <c r="F16" s="56">
        <v>19550</v>
      </c>
      <c r="G16" s="149">
        <f>F16*0.17</f>
        <v>3323.5000000000005</v>
      </c>
      <c r="H16" s="56">
        <f>F16+G16</f>
        <v>22873.5</v>
      </c>
      <c r="I16" s="178"/>
      <c r="J16" s="179"/>
      <c r="N16" s="66"/>
    </row>
    <row r="17" spans="1:18" s="21" customFormat="1" ht="15.75" customHeight="1" x14ac:dyDescent="0.25">
      <c r="A17" s="53"/>
      <c r="B17" s="181"/>
      <c r="C17" s="182"/>
      <c r="D17" s="79"/>
      <c r="E17" s="56"/>
      <c r="F17" s="56"/>
      <c r="G17" s="149"/>
      <c r="H17" s="85"/>
      <c r="I17" s="178"/>
      <c r="J17" s="179"/>
      <c r="N17" s="66"/>
    </row>
    <row r="18" spans="1:18" ht="15.75" thickBot="1" x14ac:dyDescent="0.3">
      <c r="A18" s="33"/>
      <c r="B18" s="34" t="s">
        <v>24</v>
      </c>
      <c r="C18" s="35"/>
      <c r="E18" s="62">
        <f>SUM(E16:E17)</f>
        <v>152</v>
      </c>
      <c r="F18" s="62">
        <f>SUM(F16:F17)</f>
        <v>19550</v>
      </c>
      <c r="G18" s="62">
        <f>SUM(G16:G17)</f>
        <v>3323.5000000000005</v>
      </c>
      <c r="H18" s="62">
        <f>SUM(H16:H17)</f>
        <v>22873.5</v>
      </c>
      <c r="J18" s="37"/>
    </row>
    <row r="19" spans="1:18" ht="15.75" thickTop="1" x14ac:dyDescent="0.25">
      <c r="A19" s="33"/>
      <c r="B19" s="34" t="s">
        <v>2328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11">
    <mergeCell ref="A6:J6"/>
    <mergeCell ref="I7:J7"/>
    <mergeCell ref="I8:J8"/>
    <mergeCell ref="I9:J9"/>
    <mergeCell ref="B15:C15"/>
    <mergeCell ref="I15:J15"/>
    <mergeCell ref="B16:C16"/>
    <mergeCell ref="I16:J16"/>
    <mergeCell ref="B17:C17"/>
    <mergeCell ref="I17:J17"/>
    <mergeCell ref="B21:J21"/>
  </mergeCells>
  <hyperlinks>
    <hyperlink ref="H5" r:id="rId1" xr:uid="{B11E40AC-BF96-4BF1-8015-1CCF5113E883}"/>
  </hyperlinks>
  <pageMargins left="0.2" right="0.1" top="0.25" bottom="0.25" header="0.3" footer="0.3"/>
  <pageSetup paperSize="9" orientation="portrait" r:id="rId2"/>
  <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0AEA1-39A5-4F59-9F07-2F0E819DEC83}">
  <dimension ref="A1:R27"/>
  <sheetViews>
    <sheetView workbookViewId="0">
      <selection activeCell="B10" sqref="B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2000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2022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2023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2024</v>
      </c>
      <c r="C16" s="53" t="s">
        <v>987</v>
      </c>
      <c r="D16" s="79">
        <v>6</v>
      </c>
      <c r="E16" s="56">
        <v>22</v>
      </c>
      <c r="F16" s="56">
        <f>D16*E16</f>
        <v>132</v>
      </c>
      <c r="G16" s="56">
        <f>F16*0.17</f>
        <v>22.44</v>
      </c>
      <c r="H16" s="125">
        <f>E16*1.17</f>
        <v>25.74</v>
      </c>
      <c r="I16" s="56">
        <f t="shared" ref="I16" si="0">H16*D16</f>
        <v>154.44</v>
      </c>
      <c r="J16" s="83"/>
      <c r="N16" s="66"/>
    </row>
    <row r="17" spans="1:18" s="21" customFormat="1" ht="15.75" x14ac:dyDescent="0.25">
      <c r="A17" s="53">
        <v>2</v>
      </c>
      <c r="B17" s="78" t="s">
        <v>2025</v>
      </c>
      <c r="C17" s="53" t="s">
        <v>987</v>
      </c>
      <c r="D17" s="79">
        <v>24</v>
      </c>
      <c r="E17" s="56">
        <v>45</v>
      </c>
      <c r="F17" s="56">
        <f>D17*E17</f>
        <v>1080</v>
      </c>
      <c r="G17" s="56">
        <f>F17*0.17</f>
        <v>183.60000000000002</v>
      </c>
      <c r="H17" s="125">
        <f>E17*1.17</f>
        <v>52.65</v>
      </c>
      <c r="I17" s="56">
        <f t="shared" ref="I17" si="1">H17*D17</f>
        <v>1263.5999999999999</v>
      </c>
      <c r="J17" s="83"/>
      <c r="N17" s="66"/>
    </row>
    <row r="18" spans="1:18" s="21" customFormat="1" x14ac:dyDescent="0.25">
      <c r="A18" s="53"/>
      <c r="B18" s="47"/>
      <c r="C18" s="53"/>
      <c r="D18" s="79"/>
      <c r="E18" s="56"/>
      <c r="F18" s="56"/>
      <c r="G18" s="56"/>
      <c r="H18" s="57"/>
      <c r="I18" s="56"/>
      <c r="J18" s="58"/>
      <c r="N18" s="66"/>
    </row>
    <row r="19" spans="1:18" ht="15.75" thickBot="1" x14ac:dyDescent="0.3">
      <c r="A19" s="33"/>
      <c r="B19" s="34" t="s">
        <v>24</v>
      </c>
      <c r="C19" s="35"/>
      <c r="D19" s="62">
        <f>SUM(D16:D18)</f>
        <v>30</v>
      </c>
      <c r="E19" s="35"/>
      <c r="F19" s="62">
        <f>SUM(F16:F18)</f>
        <v>1212</v>
      </c>
      <c r="G19" s="62">
        <f>SUM(G16:G18)</f>
        <v>206.04000000000002</v>
      </c>
      <c r="H19" s="35"/>
      <c r="I19" s="62">
        <f>SUM(I16:I18)</f>
        <v>1418.04</v>
      </c>
      <c r="J19" s="37"/>
    </row>
    <row r="20" spans="1:18" ht="15.75" thickTop="1" x14ac:dyDescent="0.25">
      <c r="A20" s="33"/>
      <c r="B20" s="34" t="s">
        <v>2026</v>
      </c>
      <c r="C20" s="35"/>
      <c r="D20" s="35"/>
      <c r="E20" s="35"/>
      <c r="F20" s="35"/>
      <c r="G20" s="35"/>
      <c r="H20" s="35"/>
      <c r="I20" s="35"/>
      <c r="J20" s="37"/>
    </row>
    <row r="21" spans="1:18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  <c r="M21" s="64"/>
      <c r="O21" s="65"/>
      <c r="P21" s="64"/>
      <c r="Q21" s="64"/>
      <c r="R21" s="64"/>
    </row>
    <row r="22" spans="1:18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  <c r="P22" s="64"/>
      <c r="R22" s="65"/>
    </row>
    <row r="23" spans="1:18" x14ac:dyDescent="0.25">
      <c r="B23" t="s">
        <v>634</v>
      </c>
    </row>
    <row r="26" spans="1:18" x14ac:dyDescent="0.25">
      <c r="B26" t="s">
        <v>28</v>
      </c>
      <c r="H26" t="s">
        <v>28</v>
      </c>
    </row>
    <row r="27" spans="1:18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5A772C7A-6BFF-4BD3-972A-5C7C83AD3FF9}"/>
  </hyperlinks>
  <pageMargins left="0.2" right="0.1" top="0.25" bottom="0.25" header="0.3" footer="0.3"/>
  <pageSetup paperSize="9" orientation="portrait" r:id="rId2"/>
  <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6B284-36E1-419E-B94D-786BE95E7EA2}">
  <dimension ref="A1:R26"/>
  <sheetViews>
    <sheetView workbookViewId="0">
      <selection activeCell="A3" sqref="A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2000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2019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2020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1437</v>
      </c>
      <c r="C16" s="53" t="s">
        <v>987</v>
      </c>
      <c r="D16" s="79">
        <v>20</v>
      </c>
      <c r="E16" s="56">
        <v>90</v>
      </c>
      <c r="F16" s="56">
        <f>D16*E16</f>
        <v>1800</v>
      </c>
      <c r="G16" s="56">
        <f>F16*0.17</f>
        <v>306</v>
      </c>
      <c r="H16" s="125">
        <f>E16*1.17</f>
        <v>105.3</v>
      </c>
      <c r="I16" s="56">
        <f t="shared" ref="I16" si="0">H16*D16</f>
        <v>2106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20</v>
      </c>
      <c r="E18" s="35"/>
      <c r="F18" s="62">
        <f>SUM(F16:F17)</f>
        <v>1800</v>
      </c>
      <c r="G18" s="62">
        <f>SUM(G16:G17)</f>
        <v>306</v>
      </c>
      <c r="H18" s="35"/>
      <c r="I18" s="62">
        <f>SUM(I16:I17)</f>
        <v>2106</v>
      </c>
      <c r="J18" s="37"/>
    </row>
    <row r="19" spans="1:18" ht="15.75" thickTop="1" x14ac:dyDescent="0.25">
      <c r="A19" s="33"/>
      <c r="B19" s="34" t="s">
        <v>2021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547FAC64-2256-4870-BDD4-02FC43FE4247}"/>
  </hyperlinks>
  <pageMargins left="0.2" right="0.1" top="0.25" bottom="0.25" header="0.3" footer="0.3"/>
  <pageSetup paperSize="9" orientation="portrait" r:id="rId2"/>
  <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0372C-5CE8-4B04-B8C2-EF0F0AFD3AF0}">
  <dimension ref="A1:R39"/>
  <sheetViews>
    <sheetView workbookViewId="0">
      <selection activeCell="E8" sqref="E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2000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2005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1559</v>
      </c>
      <c r="J9" s="188"/>
    </row>
    <row r="10" spans="1:15" x14ac:dyDescent="0.25">
      <c r="B10" t="s">
        <v>9</v>
      </c>
      <c r="C10" s="10" t="s">
        <v>754</v>
      </c>
      <c r="D10" s="10"/>
      <c r="E10" s="10"/>
      <c r="F10" s="10"/>
    </row>
    <row r="11" spans="1:15" x14ac:dyDescent="0.25">
      <c r="B11" t="s">
        <v>11</v>
      </c>
      <c r="C11" s="10" t="s">
        <v>755</v>
      </c>
      <c r="D11" s="11"/>
      <c r="E11" s="11"/>
      <c r="F11" s="11"/>
    </row>
    <row r="12" spans="1:15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756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ht="15.75" x14ac:dyDescent="0.25">
      <c r="A16" s="53">
        <v>1</v>
      </c>
      <c r="B16" s="78" t="s">
        <v>2006</v>
      </c>
      <c r="C16" s="53" t="s">
        <v>76</v>
      </c>
      <c r="D16" s="79">
        <v>20</v>
      </c>
      <c r="E16" s="56">
        <v>144</v>
      </c>
      <c r="F16" s="56">
        <f>D16*E16</f>
        <v>2880</v>
      </c>
      <c r="G16" s="56">
        <f t="shared" ref="G16:G30" si="0">F16*0.17</f>
        <v>489.6</v>
      </c>
      <c r="H16" s="74">
        <f t="shared" ref="H16:H30" si="1">E16*1.17</f>
        <v>168.48</v>
      </c>
      <c r="I16" s="56">
        <f>H16*D16</f>
        <v>3369.6</v>
      </c>
      <c r="J16" s="83"/>
      <c r="M16" s="21">
        <f t="shared" ref="M16:M30" si="2">440*1.02</f>
        <v>448.8</v>
      </c>
      <c r="N16" s="66" t="e">
        <f>M16-#REF!</f>
        <v>#REF!</v>
      </c>
      <c r="O16" s="21" t="e">
        <f t="shared" ref="O16:O30" si="3">N16*D16</f>
        <v>#REF!</v>
      </c>
    </row>
    <row r="17" spans="1:15" s="21" customFormat="1" ht="15.75" x14ac:dyDescent="0.25">
      <c r="A17" s="53">
        <f>A16+1</f>
        <v>2</v>
      </c>
      <c r="B17" s="78" t="s">
        <v>2007</v>
      </c>
      <c r="C17" s="53" t="s">
        <v>1234</v>
      </c>
      <c r="D17" s="79">
        <v>3</v>
      </c>
      <c r="E17" s="56">
        <v>180</v>
      </c>
      <c r="F17" s="56">
        <f t="shared" ref="F17" si="4">D17*E17</f>
        <v>540</v>
      </c>
      <c r="G17" s="56">
        <f t="shared" ref="G17" si="5">F17*0.17</f>
        <v>91.800000000000011</v>
      </c>
      <c r="H17" s="74">
        <f t="shared" ref="H17" si="6">E17*1.17</f>
        <v>210.6</v>
      </c>
      <c r="I17" s="56">
        <f t="shared" ref="I17" si="7">H17*D17</f>
        <v>631.79999999999995</v>
      </c>
      <c r="J17" s="83"/>
      <c r="N17" s="66"/>
    </row>
    <row r="18" spans="1:15" s="21" customFormat="1" ht="15.75" x14ac:dyDescent="0.25">
      <c r="A18" s="53">
        <f t="shared" ref="A18:A29" si="8">A17+1</f>
        <v>3</v>
      </c>
      <c r="B18" s="78" t="s">
        <v>2008</v>
      </c>
      <c r="C18" s="53" t="s">
        <v>1234</v>
      </c>
      <c r="D18" s="79">
        <v>40</v>
      </c>
      <c r="E18" s="56">
        <v>100</v>
      </c>
      <c r="F18" s="56">
        <f t="shared" ref="F18:F23" si="9">D18*E18</f>
        <v>4000</v>
      </c>
      <c r="G18" s="56">
        <f t="shared" si="0"/>
        <v>680</v>
      </c>
      <c r="H18" s="74">
        <f t="shared" si="1"/>
        <v>117</v>
      </c>
      <c r="I18" s="56">
        <f t="shared" ref="I18:I23" si="10">H18*D18</f>
        <v>4680</v>
      </c>
      <c r="J18" s="83"/>
      <c r="N18" s="66"/>
    </row>
    <row r="19" spans="1:15" s="21" customFormat="1" ht="15.75" x14ac:dyDescent="0.25">
      <c r="A19" s="53">
        <f t="shared" si="8"/>
        <v>4</v>
      </c>
      <c r="B19" s="78" t="s">
        <v>1769</v>
      </c>
      <c r="C19" s="53" t="s">
        <v>1234</v>
      </c>
      <c r="D19" s="79">
        <v>15</v>
      </c>
      <c r="E19" s="56">
        <v>110</v>
      </c>
      <c r="F19" s="56">
        <f t="shared" si="9"/>
        <v>1650</v>
      </c>
      <c r="G19" s="56">
        <f t="shared" si="0"/>
        <v>280.5</v>
      </c>
      <c r="H19" s="74">
        <f t="shared" si="1"/>
        <v>128.69999999999999</v>
      </c>
      <c r="I19" s="56">
        <f t="shared" si="10"/>
        <v>1930.4999999999998</v>
      </c>
      <c r="J19" s="83"/>
      <c r="N19" s="66"/>
    </row>
    <row r="20" spans="1:15" s="21" customFormat="1" ht="15.75" x14ac:dyDescent="0.25">
      <c r="A20" s="53">
        <f t="shared" si="8"/>
        <v>5</v>
      </c>
      <c r="B20" s="78" t="s">
        <v>2009</v>
      </c>
      <c r="C20" s="53" t="s">
        <v>2015</v>
      </c>
      <c r="D20" s="79">
        <v>20</v>
      </c>
      <c r="E20" s="56">
        <v>28</v>
      </c>
      <c r="F20" s="56">
        <f t="shared" si="9"/>
        <v>560</v>
      </c>
      <c r="G20" s="56">
        <f t="shared" si="0"/>
        <v>95.2</v>
      </c>
      <c r="H20" s="74">
        <f t="shared" si="1"/>
        <v>32.76</v>
      </c>
      <c r="I20" s="56">
        <f t="shared" si="10"/>
        <v>655.19999999999993</v>
      </c>
      <c r="J20" s="83"/>
      <c r="N20" s="66"/>
    </row>
    <row r="21" spans="1:15" s="21" customFormat="1" ht="15.75" x14ac:dyDescent="0.25">
      <c r="A21" s="53">
        <f t="shared" si="8"/>
        <v>6</v>
      </c>
      <c r="B21" s="78" t="s">
        <v>2010</v>
      </c>
      <c r="C21" s="53" t="s">
        <v>2016</v>
      </c>
      <c r="D21" s="79">
        <v>12</v>
      </c>
      <c r="E21" s="56">
        <v>90</v>
      </c>
      <c r="F21" s="56">
        <f t="shared" si="9"/>
        <v>1080</v>
      </c>
      <c r="G21" s="56">
        <f t="shared" ref="G21:G23" si="11">F21*0.17</f>
        <v>183.60000000000002</v>
      </c>
      <c r="H21" s="74">
        <f t="shared" ref="H21:H23" si="12">E21*1.17</f>
        <v>105.3</v>
      </c>
      <c r="I21" s="56">
        <f t="shared" si="10"/>
        <v>1263.5999999999999</v>
      </c>
      <c r="J21" s="83"/>
      <c r="N21" s="66"/>
    </row>
    <row r="22" spans="1:15" s="21" customFormat="1" ht="15.75" x14ac:dyDescent="0.25">
      <c r="A22" s="53">
        <f t="shared" si="8"/>
        <v>7</v>
      </c>
      <c r="B22" s="78" t="s">
        <v>891</v>
      </c>
      <c r="C22" s="53" t="s">
        <v>2017</v>
      </c>
      <c r="D22" s="79">
        <v>4</v>
      </c>
      <c r="E22" s="56">
        <v>220</v>
      </c>
      <c r="F22" s="56">
        <f t="shared" si="9"/>
        <v>880</v>
      </c>
      <c r="G22" s="56">
        <f t="shared" si="11"/>
        <v>149.60000000000002</v>
      </c>
      <c r="H22" s="74">
        <f t="shared" si="12"/>
        <v>257.39999999999998</v>
      </c>
      <c r="I22" s="56">
        <f t="shared" si="10"/>
        <v>1029.5999999999999</v>
      </c>
      <c r="J22" s="83"/>
      <c r="N22" s="66"/>
    </row>
    <row r="23" spans="1:15" s="21" customFormat="1" ht="15.75" x14ac:dyDescent="0.25">
      <c r="A23" s="53">
        <f t="shared" si="8"/>
        <v>8</v>
      </c>
      <c r="B23" s="78" t="s">
        <v>894</v>
      </c>
      <c r="C23" s="53" t="s">
        <v>192</v>
      </c>
      <c r="D23" s="79">
        <v>5</v>
      </c>
      <c r="E23" s="56">
        <v>190</v>
      </c>
      <c r="F23" s="56">
        <f t="shared" si="9"/>
        <v>950</v>
      </c>
      <c r="G23" s="56">
        <f t="shared" si="11"/>
        <v>161.5</v>
      </c>
      <c r="H23" s="74">
        <f t="shared" si="12"/>
        <v>222.29999999999998</v>
      </c>
      <c r="I23" s="56">
        <f t="shared" si="10"/>
        <v>1111.5</v>
      </c>
      <c r="J23" s="83"/>
      <c r="N23" s="66"/>
    </row>
    <row r="24" spans="1:15" s="21" customFormat="1" ht="15.75" x14ac:dyDescent="0.25">
      <c r="A24" s="53">
        <f t="shared" si="8"/>
        <v>9</v>
      </c>
      <c r="B24" s="78" t="s">
        <v>2011</v>
      </c>
      <c r="C24" s="53" t="s">
        <v>2017</v>
      </c>
      <c r="D24" s="79">
        <v>8</v>
      </c>
      <c r="E24" s="56">
        <v>125</v>
      </c>
      <c r="F24" s="56">
        <f t="shared" ref="F24:F26" si="13">D24*E24</f>
        <v>1000</v>
      </c>
      <c r="G24" s="56">
        <f t="shared" ref="G24:G26" si="14">F24*0.17</f>
        <v>170</v>
      </c>
      <c r="H24" s="74">
        <f t="shared" ref="H24:H26" si="15">E24*1.17</f>
        <v>146.25</v>
      </c>
      <c r="I24" s="56">
        <f t="shared" ref="I24:I26" si="16">H24*D24</f>
        <v>1170</v>
      </c>
      <c r="J24" s="83"/>
      <c r="N24" s="66"/>
    </row>
    <row r="25" spans="1:15" s="21" customFormat="1" ht="15.75" x14ac:dyDescent="0.25">
      <c r="A25" s="53">
        <f t="shared" si="8"/>
        <v>10</v>
      </c>
      <c r="B25" s="78" t="s">
        <v>892</v>
      </c>
      <c r="C25" s="53" t="s">
        <v>2015</v>
      </c>
      <c r="D25" s="79">
        <v>30</v>
      </c>
      <c r="E25" s="56">
        <v>58</v>
      </c>
      <c r="F25" s="56">
        <f t="shared" si="13"/>
        <v>1740</v>
      </c>
      <c r="G25" s="56">
        <f t="shared" si="14"/>
        <v>295.8</v>
      </c>
      <c r="H25" s="74">
        <f t="shared" si="15"/>
        <v>67.86</v>
      </c>
      <c r="I25" s="56">
        <f t="shared" si="16"/>
        <v>2035.8</v>
      </c>
      <c r="J25" s="83"/>
      <c r="N25" s="66"/>
    </row>
    <row r="26" spans="1:15" s="21" customFormat="1" ht="15.75" x14ac:dyDescent="0.25">
      <c r="A26" s="53">
        <f t="shared" si="8"/>
        <v>11</v>
      </c>
      <c r="B26" s="78" t="s">
        <v>2012</v>
      </c>
      <c r="C26" s="53" t="s">
        <v>1234</v>
      </c>
      <c r="D26" s="79">
        <v>20</v>
      </c>
      <c r="E26" s="56">
        <v>150</v>
      </c>
      <c r="F26" s="56">
        <f t="shared" si="13"/>
        <v>3000</v>
      </c>
      <c r="G26" s="56">
        <f t="shared" si="14"/>
        <v>510.00000000000006</v>
      </c>
      <c r="H26" s="74">
        <f t="shared" si="15"/>
        <v>175.5</v>
      </c>
      <c r="I26" s="56">
        <f t="shared" si="16"/>
        <v>3510</v>
      </c>
      <c r="J26" s="83"/>
      <c r="N26" s="66"/>
    </row>
    <row r="27" spans="1:15" s="21" customFormat="1" ht="15.75" x14ac:dyDescent="0.25">
      <c r="A27" s="53">
        <f t="shared" si="8"/>
        <v>12</v>
      </c>
      <c r="B27" s="78" t="s">
        <v>2013</v>
      </c>
      <c r="C27" s="53" t="s">
        <v>2017</v>
      </c>
      <c r="D27" s="79">
        <v>12</v>
      </c>
      <c r="E27" s="56">
        <v>35</v>
      </c>
      <c r="F27" s="56">
        <f t="shared" ref="F27:F30" si="17">D27*E27</f>
        <v>420</v>
      </c>
      <c r="G27" s="56">
        <f t="shared" si="0"/>
        <v>71.400000000000006</v>
      </c>
      <c r="H27" s="74">
        <f t="shared" si="1"/>
        <v>40.949999999999996</v>
      </c>
      <c r="I27" s="56">
        <f t="shared" ref="I27:I30" si="18">H27*D27</f>
        <v>491.4</v>
      </c>
      <c r="J27" s="83"/>
      <c r="N27" s="66"/>
    </row>
    <row r="28" spans="1:15" s="21" customFormat="1" ht="15.75" x14ac:dyDescent="0.25">
      <c r="A28" s="53">
        <f t="shared" si="8"/>
        <v>13</v>
      </c>
      <c r="B28" s="78" t="s">
        <v>2014</v>
      </c>
      <c r="C28" s="53" t="s">
        <v>192</v>
      </c>
      <c r="D28" s="79">
        <v>2</v>
      </c>
      <c r="E28" s="56">
        <v>180</v>
      </c>
      <c r="F28" s="56">
        <f t="shared" si="17"/>
        <v>360</v>
      </c>
      <c r="G28" s="56">
        <f t="shared" si="0"/>
        <v>61.2</v>
      </c>
      <c r="H28" s="74">
        <f t="shared" si="1"/>
        <v>210.6</v>
      </c>
      <c r="I28" s="56">
        <f t="shared" si="18"/>
        <v>421.2</v>
      </c>
      <c r="J28" s="83"/>
      <c r="N28" s="66"/>
    </row>
    <row r="29" spans="1:15" s="21" customFormat="1" ht="15.75" x14ac:dyDescent="0.25">
      <c r="A29" s="53">
        <f t="shared" si="8"/>
        <v>14</v>
      </c>
      <c r="B29" s="78" t="s">
        <v>1137</v>
      </c>
      <c r="C29" s="53" t="s">
        <v>193</v>
      </c>
      <c r="D29" s="79">
        <v>56</v>
      </c>
      <c r="E29" s="56">
        <v>18</v>
      </c>
      <c r="F29" s="56">
        <f t="shared" si="17"/>
        <v>1008</v>
      </c>
      <c r="G29" s="56">
        <f t="shared" si="0"/>
        <v>171.36</v>
      </c>
      <c r="H29" s="74">
        <f t="shared" si="1"/>
        <v>21.06</v>
      </c>
      <c r="I29" s="56">
        <f t="shared" si="18"/>
        <v>1179.3599999999999</v>
      </c>
      <c r="J29" s="83"/>
      <c r="N29" s="66"/>
    </row>
    <row r="30" spans="1:15" s="21" customFormat="1" x14ac:dyDescent="0.25">
      <c r="A30" s="53"/>
      <c r="B30" s="47"/>
      <c r="C30" s="82"/>
      <c r="D30" s="57"/>
      <c r="E30" s="56"/>
      <c r="F30" s="56">
        <f t="shared" si="17"/>
        <v>0</v>
      </c>
      <c r="G30" s="56">
        <f t="shared" si="0"/>
        <v>0</v>
      </c>
      <c r="H30" s="57">
        <f t="shared" si="1"/>
        <v>0</v>
      </c>
      <c r="I30" s="56">
        <f t="shared" si="18"/>
        <v>0</v>
      </c>
      <c r="J30" s="58"/>
      <c r="M30" s="21">
        <f t="shared" si="2"/>
        <v>448.8</v>
      </c>
      <c r="N30" s="66" t="e">
        <f>M30-#REF!</f>
        <v>#REF!</v>
      </c>
      <c r="O30" s="21" t="e">
        <f t="shared" si="3"/>
        <v>#REF!</v>
      </c>
    </row>
    <row r="31" spans="1:15" ht="15.75" thickBot="1" x14ac:dyDescent="0.3">
      <c r="A31" s="33"/>
      <c r="B31" s="34" t="s">
        <v>24</v>
      </c>
      <c r="C31" s="35"/>
      <c r="D31" s="62">
        <f>SUM(D16:D30)</f>
        <v>247</v>
      </c>
      <c r="E31" s="35"/>
      <c r="F31" s="62">
        <f>SUM(F16:F30)</f>
        <v>20068</v>
      </c>
      <c r="G31" s="62">
        <f>SUM(G16:G30)</f>
        <v>3411.5600000000004</v>
      </c>
      <c r="H31" s="35"/>
      <c r="I31" s="62">
        <f>SUM(I16:I30)</f>
        <v>23479.560000000005</v>
      </c>
      <c r="J31" s="37"/>
      <c r="M31" t="e">
        <f>#REF!/117*100</f>
        <v>#REF!</v>
      </c>
      <c r="O31" t="e">
        <f>M31*1.1</f>
        <v>#REF!</v>
      </c>
    </row>
    <row r="32" spans="1:15" ht="15.75" thickTop="1" x14ac:dyDescent="0.25">
      <c r="A32" s="33"/>
      <c r="B32" s="34" t="s">
        <v>2018</v>
      </c>
      <c r="C32" s="35"/>
      <c r="D32" s="35"/>
      <c r="E32" s="35"/>
      <c r="F32" s="35"/>
      <c r="G32" s="35"/>
      <c r="H32" s="35"/>
      <c r="I32" s="35"/>
      <c r="J32" s="37"/>
    </row>
    <row r="33" spans="1:18" x14ac:dyDescent="0.25">
      <c r="A33" s="33"/>
      <c r="B33" s="38" t="s">
        <v>25</v>
      </c>
      <c r="C33" s="35"/>
      <c r="D33" s="35"/>
      <c r="E33" s="35"/>
      <c r="F33" s="35"/>
      <c r="G33" s="35"/>
      <c r="H33" s="35"/>
      <c r="I33" s="35"/>
      <c r="J33" s="37"/>
      <c r="M33" s="64" t="e">
        <f>M31*#REF!</f>
        <v>#REF!</v>
      </c>
      <c r="O33" s="65" t="e">
        <f>#REF!</f>
        <v>#REF!</v>
      </c>
      <c r="P33" s="64" t="e">
        <f>O33-M33</f>
        <v>#REF!</v>
      </c>
      <c r="Q33" s="64" t="e">
        <f>#REF!*0.045</f>
        <v>#REF!</v>
      </c>
      <c r="R33" s="64" t="e">
        <f>P33-Q33</f>
        <v>#REF!</v>
      </c>
    </row>
    <row r="34" spans="1:18" ht="30" customHeight="1" x14ac:dyDescent="0.25">
      <c r="B34" s="183" t="s">
        <v>26</v>
      </c>
      <c r="C34" s="183"/>
      <c r="D34" s="183"/>
      <c r="E34" s="183"/>
      <c r="F34" s="183"/>
      <c r="G34" s="183"/>
      <c r="H34" s="183"/>
      <c r="I34" s="183"/>
      <c r="J34" s="183"/>
      <c r="P34" s="64"/>
      <c r="R34" s="65" t="e">
        <f>#REF!-#REF!</f>
        <v>#REF!</v>
      </c>
    </row>
    <row r="35" spans="1:18" x14ac:dyDescent="0.25">
      <c r="B35" t="s">
        <v>634</v>
      </c>
    </row>
    <row r="38" spans="1:18" x14ac:dyDescent="0.25">
      <c r="B38" t="s">
        <v>28</v>
      </c>
      <c r="H38" t="s">
        <v>28</v>
      </c>
    </row>
    <row r="39" spans="1:18" x14ac:dyDescent="0.25">
      <c r="B39" t="s">
        <v>29</v>
      </c>
      <c r="H39" t="s">
        <v>30</v>
      </c>
    </row>
  </sheetData>
  <autoFilter ref="A15:J35" xr:uid="{00000000-0009-0000-0000-000000000000}"/>
  <mergeCells count="5">
    <mergeCell ref="A6:J6"/>
    <mergeCell ref="I7:J7"/>
    <mergeCell ref="I8:J8"/>
    <mergeCell ref="I9:J9"/>
    <mergeCell ref="B34:J34"/>
  </mergeCells>
  <hyperlinks>
    <hyperlink ref="H5" r:id="rId1" xr:uid="{C1425BCA-38BD-46F9-852F-49BC41C33654}"/>
  </hyperlinks>
  <pageMargins left="0.2" right="0.1" top="0.25" bottom="0.25" header="0.3" footer="0.3"/>
  <pageSetup paperSize="9" orientation="portrait" r:id="rId2"/>
  <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B8397-EE3E-4981-963C-EDCE1337B9B3}">
  <dimension ref="A1:J29"/>
  <sheetViews>
    <sheetView topLeftCell="A6" workbookViewId="0">
      <selection activeCell="C20" sqref="C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2000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1999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2001</v>
      </c>
      <c r="J9" s="188"/>
    </row>
    <row r="10" spans="1:10" x14ac:dyDescent="0.25">
      <c r="B10" t="s">
        <v>9</v>
      </c>
      <c r="C10" s="10" t="s">
        <v>1808</v>
      </c>
      <c r="D10" s="10"/>
      <c r="E10" s="10"/>
      <c r="F10" s="10"/>
    </row>
    <row r="11" spans="1:10" x14ac:dyDescent="0.25">
      <c r="B11" t="s">
        <v>11</v>
      </c>
      <c r="C11" s="10" t="s">
        <v>2002</v>
      </c>
      <c r="D11" s="11"/>
      <c r="E11" s="11"/>
      <c r="F11" s="11"/>
    </row>
    <row r="12" spans="1:10" x14ac:dyDescent="0.25">
      <c r="A12" s="12"/>
      <c r="B12" s="13"/>
      <c r="C12" s="14" t="s">
        <v>1642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0" ht="5.0999999999999996" customHeight="1" x14ac:dyDescent="0.25">
      <c r="C14" s="75"/>
    </row>
    <row r="15" spans="1:10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0" s="21" customFormat="1" ht="15.75" x14ac:dyDescent="0.25">
      <c r="A16" s="53">
        <v>1</v>
      </c>
      <c r="B16" s="78" t="s">
        <v>1809</v>
      </c>
      <c r="C16" s="53" t="s">
        <v>987</v>
      </c>
      <c r="D16" s="79">
        <v>3</v>
      </c>
      <c r="E16" s="56">
        <v>6200</v>
      </c>
      <c r="F16" s="56">
        <f t="shared" ref="F16:F20" si="0">D16*E16</f>
        <v>18600</v>
      </c>
      <c r="G16" s="56">
        <f t="shared" ref="G16:G20" si="1">F16*0.17</f>
        <v>3162</v>
      </c>
      <c r="H16" s="129">
        <f t="shared" ref="H16:H20" si="2">E16*1.17</f>
        <v>7254</v>
      </c>
      <c r="I16" s="56">
        <f t="shared" ref="I16:I20" si="3">H16*D16</f>
        <v>21762</v>
      </c>
      <c r="J16" s="83"/>
    </row>
    <row r="17" spans="1:10" s="21" customFormat="1" ht="15.75" x14ac:dyDescent="0.25">
      <c r="A17" s="53">
        <v>2</v>
      </c>
      <c r="B17" s="78" t="s">
        <v>1797</v>
      </c>
      <c r="C17" s="53" t="s">
        <v>987</v>
      </c>
      <c r="D17" s="79">
        <v>3</v>
      </c>
      <c r="E17" s="56">
        <v>10000</v>
      </c>
      <c r="F17" s="56">
        <f t="shared" si="0"/>
        <v>30000</v>
      </c>
      <c r="G17" s="56">
        <f t="shared" si="1"/>
        <v>5100</v>
      </c>
      <c r="H17" s="129">
        <f t="shared" si="2"/>
        <v>11700</v>
      </c>
      <c r="I17" s="56">
        <f t="shared" si="3"/>
        <v>35100</v>
      </c>
      <c r="J17" s="83"/>
    </row>
    <row r="18" spans="1:10" s="21" customFormat="1" ht="15.75" x14ac:dyDescent="0.25">
      <c r="A18" s="53">
        <v>3</v>
      </c>
      <c r="B18" s="78" t="s">
        <v>2003</v>
      </c>
      <c r="C18" s="53" t="s">
        <v>987</v>
      </c>
      <c r="D18" s="79">
        <v>2</v>
      </c>
      <c r="E18" s="56">
        <v>6000</v>
      </c>
      <c r="F18" s="56">
        <f t="shared" si="0"/>
        <v>12000</v>
      </c>
      <c r="G18" s="56">
        <f t="shared" si="1"/>
        <v>2040.0000000000002</v>
      </c>
      <c r="H18" s="129">
        <f t="shared" si="2"/>
        <v>7020</v>
      </c>
      <c r="I18" s="56">
        <f t="shared" si="3"/>
        <v>14040</v>
      </c>
      <c r="J18" s="83"/>
    </row>
    <row r="19" spans="1:10" s="21" customFormat="1" ht="15.75" x14ac:dyDescent="0.25">
      <c r="A19" s="53">
        <v>4</v>
      </c>
      <c r="B19" s="78" t="s">
        <v>1825</v>
      </c>
      <c r="C19" s="53" t="s">
        <v>987</v>
      </c>
      <c r="D19" s="79">
        <v>1</v>
      </c>
      <c r="E19" s="56">
        <v>6000</v>
      </c>
      <c r="F19" s="56">
        <f t="shared" si="0"/>
        <v>6000</v>
      </c>
      <c r="G19" s="56">
        <f t="shared" si="1"/>
        <v>1020.0000000000001</v>
      </c>
      <c r="H19" s="129">
        <f t="shared" si="2"/>
        <v>7020</v>
      </c>
      <c r="I19" s="56">
        <f t="shared" si="3"/>
        <v>7020</v>
      </c>
      <c r="J19" s="83"/>
    </row>
    <row r="20" spans="1:10" s="21" customFormat="1" x14ac:dyDescent="0.25">
      <c r="A20" s="53"/>
      <c r="B20" s="47"/>
      <c r="C20" s="82"/>
      <c r="D20" s="57"/>
      <c r="E20" s="56"/>
      <c r="F20" s="56">
        <f t="shared" si="0"/>
        <v>0</v>
      </c>
      <c r="G20" s="56">
        <f t="shared" si="1"/>
        <v>0</v>
      </c>
      <c r="H20" s="129">
        <f t="shared" si="2"/>
        <v>0</v>
      </c>
      <c r="I20" s="56">
        <f t="shared" si="3"/>
        <v>0</v>
      </c>
      <c r="J20" s="58"/>
    </row>
    <row r="21" spans="1:10" ht="15.75" thickBot="1" x14ac:dyDescent="0.3">
      <c r="A21" s="33"/>
      <c r="B21" s="34" t="s">
        <v>24</v>
      </c>
      <c r="C21" s="35"/>
      <c r="D21" s="62">
        <f>SUM(D16:D20)</f>
        <v>9</v>
      </c>
      <c r="E21" s="35"/>
      <c r="F21" s="62">
        <f>SUM(F16:F20)</f>
        <v>66600</v>
      </c>
      <c r="G21" s="62">
        <f>SUM(G16:G20)</f>
        <v>11322</v>
      </c>
      <c r="H21" s="35"/>
      <c r="I21" s="62">
        <f>SUM(I16:I20)</f>
        <v>77922</v>
      </c>
      <c r="J21" s="37"/>
    </row>
    <row r="22" spans="1:10" ht="15.75" thickTop="1" x14ac:dyDescent="0.25">
      <c r="A22" s="33"/>
      <c r="B22" s="34" t="s">
        <v>2004</v>
      </c>
      <c r="C22" s="35"/>
      <c r="D22" s="35"/>
      <c r="E22" s="35"/>
      <c r="F22" s="35"/>
      <c r="G22" s="35"/>
      <c r="H22" s="35"/>
      <c r="I22" s="35"/>
      <c r="J22" s="37"/>
    </row>
    <row r="23" spans="1:10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</row>
    <row r="24" spans="1:10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</row>
    <row r="25" spans="1:10" x14ac:dyDescent="0.25">
      <c r="B25" t="s">
        <v>634</v>
      </c>
    </row>
    <row r="28" spans="1:10" x14ac:dyDescent="0.25">
      <c r="B28" t="s">
        <v>28</v>
      </c>
      <c r="H28" t="s">
        <v>28</v>
      </c>
    </row>
    <row r="29" spans="1:10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FE2D09FD-3C12-46E5-BF25-1D8201ED0FC9}"/>
  </hyperlinks>
  <pageMargins left="0.2" right="0.1" top="0.25" bottom="0.25" header="0.3" footer="0.3"/>
  <pageSetup paperSize="9" orientation="portrait" r:id="rId2"/>
  <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EA427-9CC3-43F5-BCD5-9A758BFA05EA}">
  <dimension ref="A1:J25"/>
  <sheetViews>
    <sheetView workbookViewId="0">
      <selection activeCell="C16" sqref="C1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1982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1998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1838</v>
      </c>
      <c r="D10" s="10"/>
      <c r="E10" s="10"/>
      <c r="F10" s="10"/>
    </row>
    <row r="11" spans="1:10" x14ac:dyDescent="0.25">
      <c r="B11" t="s">
        <v>11</v>
      </c>
      <c r="C11" s="132" t="s">
        <v>1839</v>
      </c>
      <c r="D11" s="11"/>
      <c r="E11" s="11"/>
      <c r="F11" s="11"/>
    </row>
    <row r="12" spans="1:10" x14ac:dyDescent="0.25">
      <c r="A12" s="12"/>
      <c r="B12" s="13"/>
      <c r="C12" s="132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1840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1841</v>
      </c>
      <c r="C16" s="54" t="s">
        <v>23</v>
      </c>
      <c r="D16" s="72">
        <v>5</v>
      </c>
      <c r="E16" s="56">
        <v>7200</v>
      </c>
      <c r="F16" s="56">
        <f t="shared" ref="F16" si="0">D16*E16</f>
        <v>36000</v>
      </c>
      <c r="G16" s="56">
        <f>F16*0.17</f>
        <v>6120</v>
      </c>
      <c r="H16" s="84">
        <f>E16*1.17</f>
        <v>8424</v>
      </c>
      <c r="I16" s="56">
        <f t="shared" ref="I16" si="1">H16*D16</f>
        <v>42120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5</v>
      </c>
      <c r="E17" s="35"/>
      <c r="F17" s="62">
        <f>SUM(F16:F16)</f>
        <v>36000</v>
      </c>
      <c r="G17" s="62">
        <f>SUM(G16:G16)</f>
        <v>6120</v>
      </c>
      <c r="H17" s="35"/>
      <c r="I17" s="62">
        <f>SUM(I16:I16)</f>
        <v>42120</v>
      </c>
      <c r="J17" s="37"/>
    </row>
    <row r="18" spans="1:10" ht="15.75" thickTop="1" x14ac:dyDescent="0.25">
      <c r="A18" s="33"/>
      <c r="B18" s="34" t="s">
        <v>1842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0C75D6B9-209F-48BC-9BEF-B3E1AFD00D50}"/>
  </hyperlinks>
  <pageMargins left="0.2" right="0.1" top="0.25" bottom="0.25" header="0.3" footer="0.3"/>
  <pageSetup paperSize="9" orientation="portrait" r:id="rId2"/>
  <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BC623-51B6-4849-BE8C-B4EF491A1108}">
  <dimension ref="A1:R29"/>
  <sheetViews>
    <sheetView workbookViewId="0">
      <selection activeCell="F7" sqref="F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1982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1993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1414</v>
      </c>
      <c r="D10" s="10"/>
      <c r="E10" s="10"/>
      <c r="F10" s="10"/>
    </row>
    <row r="11" spans="1:14" x14ac:dyDescent="0.25">
      <c r="B11" t="s">
        <v>11</v>
      </c>
      <c r="C11" s="10" t="s">
        <v>52</v>
      </c>
      <c r="D11" s="11"/>
      <c r="E11" s="11"/>
      <c r="F11" s="11"/>
    </row>
    <row r="12" spans="1:14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1912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1994</v>
      </c>
      <c r="C16" s="53" t="s">
        <v>76</v>
      </c>
      <c r="D16" s="79">
        <v>30</v>
      </c>
      <c r="E16" s="56">
        <v>90</v>
      </c>
      <c r="F16" s="56">
        <f>D16*E16</f>
        <v>2700</v>
      </c>
      <c r="G16" s="146">
        <f>F16*0.17</f>
        <v>459.00000000000006</v>
      </c>
      <c r="H16" s="125">
        <f>E16*1.17</f>
        <v>105.3</v>
      </c>
      <c r="I16" s="56">
        <f t="shared" ref="I16:I19" si="0">H16*D16</f>
        <v>3159</v>
      </c>
      <c r="J16" s="83"/>
      <c r="N16" s="66"/>
    </row>
    <row r="17" spans="1:18" s="21" customFormat="1" ht="15.75" x14ac:dyDescent="0.25">
      <c r="A17" s="53">
        <f>A16+1</f>
        <v>2</v>
      </c>
      <c r="B17" s="78" t="s">
        <v>71</v>
      </c>
      <c r="C17" s="53" t="s">
        <v>193</v>
      </c>
      <c r="D17" s="79">
        <v>400</v>
      </c>
      <c r="E17" s="56">
        <v>20</v>
      </c>
      <c r="F17" s="56">
        <f t="shared" ref="F17:F19" si="1">D17*E17</f>
        <v>8000</v>
      </c>
      <c r="G17" s="146">
        <f t="shared" ref="G17:G19" si="2">F17*0.17</f>
        <v>1360</v>
      </c>
      <c r="H17" s="125">
        <f t="shared" ref="H17:H19" si="3">E17*1.17</f>
        <v>23.4</v>
      </c>
      <c r="I17" s="56">
        <f t="shared" si="0"/>
        <v>9360</v>
      </c>
      <c r="J17" s="83"/>
      <c r="N17" s="66"/>
    </row>
    <row r="18" spans="1:18" s="21" customFormat="1" ht="15.75" x14ac:dyDescent="0.25">
      <c r="A18" s="53">
        <f t="shared" ref="A18:A19" si="4">A17+1</f>
        <v>3</v>
      </c>
      <c r="B18" s="78" t="s">
        <v>1995</v>
      </c>
      <c r="C18" s="53" t="s">
        <v>165</v>
      </c>
      <c r="D18" s="79">
        <v>20</v>
      </c>
      <c r="E18" s="56">
        <v>100</v>
      </c>
      <c r="F18" s="56">
        <f t="shared" si="1"/>
        <v>2000</v>
      </c>
      <c r="G18" s="146">
        <f t="shared" si="2"/>
        <v>340</v>
      </c>
      <c r="H18" s="125">
        <f t="shared" si="3"/>
        <v>117</v>
      </c>
      <c r="I18" s="56">
        <f t="shared" si="0"/>
        <v>2340</v>
      </c>
      <c r="J18" s="83"/>
      <c r="N18" s="66"/>
    </row>
    <row r="19" spans="1:18" s="21" customFormat="1" ht="15.75" x14ac:dyDescent="0.25">
      <c r="A19" s="53">
        <f t="shared" si="4"/>
        <v>4</v>
      </c>
      <c r="B19" s="78" t="s">
        <v>1996</v>
      </c>
      <c r="C19" s="53" t="s">
        <v>165</v>
      </c>
      <c r="D19" s="79">
        <v>20</v>
      </c>
      <c r="E19" s="56">
        <v>130</v>
      </c>
      <c r="F19" s="56">
        <f t="shared" si="1"/>
        <v>2600</v>
      </c>
      <c r="G19" s="146">
        <f t="shared" si="2"/>
        <v>442.00000000000006</v>
      </c>
      <c r="H19" s="125">
        <f t="shared" si="3"/>
        <v>152.1</v>
      </c>
      <c r="I19" s="56">
        <f t="shared" si="0"/>
        <v>3042</v>
      </c>
      <c r="J19" s="83"/>
      <c r="N19" s="66"/>
    </row>
    <row r="20" spans="1:18" s="21" customFormat="1" x14ac:dyDescent="0.25">
      <c r="A20" s="53"/>
      <c r="B20" s="47"/>
      <c r="C20" s="53"/>
      <c r="D20" s="79"/>
      <c r="E20" s="56"/>
      <c r="F20" s="56"/>
      <c r="G20" s="56"/>
      <c r="H20" s="57"/>
      <c r="I20" s="56"/>
      <c r="J20" s="58"/>
      <c r="N20" s="66"/>
    </row>
    <row r="21" spans="1:18" ht="15.75" thickBot="1" x14ac:dyDescent="0.3">
      <c r="A21" s="33"/>
      <c r="B21" s="34" t="s">
        <v>24</v>
      </c>
      <c r="C21" s="35"/>
      <c r="D21" s="62">
        <f>SUM(D16:D20)</f>
        <v>470</v>
      </c>
      <c r="E21" s="35"/>
      <c r="F21" s="62">
        <f>SUM(F16:F20)</f>
        <v>15300</v>
      </c>
      <c r="G21" s="62">
        <f>SUM(G16:G20)</f>
        <v>2601</v>
      </c>
      <c r="H21" s="35"/>
      <c r="I21" s="62">
        <f>SUM(I16:I20)</f>
        <v>17901</v>
      </c>
      <c r="J21" s="37"/>
    </row>
    <row r="22" spans="1:18" ht="15.75" thickTop="1" x14ac:dyDescent="0.25">
      <c r="A22" s="33"/>
      <c r="B22" s="34" t="s">
        <v>1997</v>
      </c>
      <c r="C22" s="35"/>
      <c r="D22" s="35"/>
      <c r="E22" s="35"/>
      <c r="F22" s="35"/>
      <c r="G22" s="35"/>
      <c r="H22" s="35"/>
      <c r="I22" s="35"/>
      <c r="J22" s="37"/>
    </row>
    <row r="23" spans="1:18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  <c r="M23" s="64"/>
      <c r="O23" s="65"/>
      <c r="P23" s="64"/>
      <c r="Q23" s="64"/>
      <c r="R23" s="64"/>
    </row>
    <row r="24" spans="1:18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  <c r="P24" s="64"/>
      <c r="R24" s="65"/>
    </row>
    <row r="25" spans="1:18" x14ac:dyDescent="0.25">
      <c r="B25" t="s">
        <v>634</v>
      </c>
    </row>
    <row r="28" spans="1:18" x14ac:dyDescent="0.25">
      <c r="B28" t="s">
        <v>28</v>
      </c>
      <c r="H28" t="s">
        <v>28</v>
      </c>
    </row>
    <row r="29" spans="1:18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7EF8D824-8ECA-438F-B241-F33071A78E07}"/>
  </hyperlinks>
  <pageMargins left="0.2" right="0.1" top="0.25" bottom="0.25" header="0.3" footer="0.3"/>
  <pageSetup paperSize="9" orientation="portrait" r:id="rId2"/>
  <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525A5-A5CF-4CA1-9CD2-3077B93F7241}">
  <dimension ref="A1:R26"/>
  <sheetViews>
    <sheetView workbookViewId="0">
      <selection activeCell="E11" sqref="E1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1982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1990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1414</v>
      </c>
      <c r="D10" s="10"/>
      <c r="E10" s="10"/>
      <c r="F10" s="10"/>
    </row>
    <row r="11" spans="1:14" x14ac:dyDescent="0.25">
      <c r="B11" t="s">
        <v>11</v>
      </c>
      <c r="C11" s="10" t="s">
        <v>52</v>
      </c>
      <c r="D11" s="11"/>
      <c r="E11" s="11"/>
      <c r="F11" s="11"/>
    </row>
    <row r="12" spans="1:14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1912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1991</v>
      </c>
      <c r="C16" s="53" t="s">
        <v>269</v>
      </c>
      <c r="D16" s="79">
        <v>25</v>
      </c>
      <c r="E16" s="56">
        <v>600</v>
      </c>
      <c r="F16" s="56">
        <f>D16*E16</f>
        <v>15000</v>
      </c>
      <c r="G16" s="142">
        <f>E16*0.17</f>
        <v>102.00000000000001</v>
      </c>
      <c r="H16" s="125">
        <f>E16+G16</f>
        <v>702</v>
      </c>
      <c r="I16" s="56">
        <f t="shared" ref="I16" si="0">H16*D16</f>
        <v>17550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25</v>
      </c>
      <c r="E18" s="35"/>
      <c r="F18" s="62">
        <f>SUM(F16:F17)</f>
        <v>15000</v>
      </c>
      <c r="G18" s="62">
        <f>SUM(G16:G17)</f>
        <v>102.00000000000001</v>
      </c>
      <c r="H18" s="35"/>
      <c r="I18" s="62">
        <f>SUM(I16:I17)</f>
        <v>17550</v>
      </c>
      <c r="J18" s="37"/>
    </row>
    <row r="19" spans="1:18" ht="15.75" thickTop="1" x14ac:dyDescent="0.25">
      <c r="A19" s="33"/>
      <c r="B19" s="34" t="s">
        <v>1869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F63DBD3F-A4F5-46F9-8642-DA69E0806C20}"/>
  </hyperlinks>
  <pageMargins left="0.2" right="0.1" top="0.25" bottom="0.25" header="0.3" footer="0.3"/>
  <pageSetup paperSize="9" orientation="portrait" r:id="rId2"/>
  <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3E856-A60C-44AC-BEC1-EECA27D2584E}">
  <dimension ref="A1:R44"/>
  <sheetViews>
    <sheetView workbookViewId="0">
      <selection activeCell="F14" sqref="F1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1982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1983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0" t="s">
        <v>1414</v>
      </c>
      <c r="D10" s="10"/>
      <c r="E10" s="10"/>
      <c r="F10" s="10"/>
    </row>
    <row r="11" spans="1:14" x14ac:dyDescent="0.25">
      <c r="B11" t="s">
        <v>11</v>
      </c>
      <c r="C11" s="10" t="s">
        <v>52</v>
      </c>
      <c r="D11" s="11"/>
      <c r="E11" s="11"/>
      <c r="F11" s="11"/>
    </row>
    <row r="12" spans="1:14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1912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1743</v>
      </c>
      <c r="C16" s="53" t="s">
        <v>825</v>
      </c>
      <c r="D16" s="79">
        <v>6</v>
      </c>
      <c r="E16" s="56">
        <v>150</v>
      </c>
      <c r="F16" s="56">
        <f>D16*E16</f>
        <v>900</v>
      </c>
      <c r="G16" s="142">
        <f>F16*0.17</f>
        <v>153</v>
      </c>
      <c r="H16" s="125">
        <f>E16*1.17</f>
        <v>175.5</v>
      </c>
      <c r="I16" s="56">
        <f t="shared" ref="I16:I31" si="0">H16*D16</f>
        <v>1053</v>
      </c>
      <c r="J16" s="83"/>
      <c r="N16" s="66"/>
    </row>
    <row r="17" spans="1:14" s="21" customFormat="1" ht="15.75" x14ac:dyDescent="0.25">
      <c r="A17" s="53">
        <f>A16+1</f>
        <v>2</v>
      </c>
      <c r="B17" s="78" t="s">
        <v>1744</v>
      </c>
      <c r="C17" s="53" t="s">
        <v>825</v>
      </c>
      <c r="D17" s="79">
        <v>6</v>
      </c>
      <c r="E17" s="56">
        <v>150</v>
      </c>
      <c r="F17" s="56">
        <f t="shared" ref="F17:F31" si="1">D17*E17</f>
        <v>900</v>
      </c>
      <c r="G17" s="142">
        <f t="shared" ref="G17:G34" si="2">F17*0.17</f>
        <v>153</v>
      </c>
      <c r="H17" s="125">
        <f t="shared" ref="H17:H34" si="3">E17*1.17</f>
        <v>175.5</v>
      </c>
      <c r="I17" s="56">
        <f t="shared" si="0"/>
        <v>1053</v>
      </c>
      <c r="J17" s="83"/>
      <c r="N17" s="66"/>
    </row>
    <row r="18" spans="1:14" s="21" customFormat="1" ht="15.75" x14ac:dyDescent="0.25">
      <c r="A18" s="53">
        <f t="shared" ref="A18:A32" si="4">A17+1</f>
        <v>3</v>
      </c>
      <c r="B18" s="78" t="s">
        <v>1603</v>
      </c>
      <c r="C18" s="53" t="s">
        <v>23</v>
      </c>
      <c r="D18" s="79">
        <v>2</v>
      </c>
      <c r="E18" s="56">
        <v>140</v>
      </c>
      <c r="F18" s="56">
        <f t="shared" si="1"/>
        <v>280</v>
      </c>
      <c r="G18" s="142">
        <f t="shared" si="2"/>
        <v>47.6</v>
      </c>
      <c r="H18" s="125">
        <f t="shared" si="3"/>
        <v>163.79999999999998</v>
      </c>
      <c r="I18" s="56">
        <f t="shared" si="0"/>
        <v>327.59999999999997</v>
      </c>
      <c r="J18" s="83"/>
      <c r="N18" s="66"/>
    </row>
    <row r="19" spans="1:14" s="21" customFormat="1" ht="15.75" x14ac:dyDescent="0.25">
      <c r="A19" s="53">
        <f t="shared" si="4"/>
        <v>4</v>
      </c>
      <c r="B19" s="78" t="s">
        <v>1984</v>
      </c>
      <c r="C19" s="53" t="s">
        <v>825</v>
      </c>
      <c r="D19" s="79">
        <v>15</v>
      </c>
      <c r="E19" s="56">
        <v>86</v>
      </c>
      <c r="F19" s="56">
        <f t="shared" si="1"/>
        <v>1290</v>
      </c>
      <c r="G19" s="142">
        <f t="shared" si="2"/>
        <v>219.3</v>
      </c>
      <c r="H19" s="125">
        <f t="shared" si="3"/>
        <v>100.61999999999999</v>
      </c>
      <c r="I19" s="56">
        <f t="shared" si="0"/>
        <v>1509.3</v>
      </c>
      <c r="J19" s="83"/>
      <c r="N19" s="66"/>
    </row>
    <row r="20" spans="1:14" s="21" customFormat="1" ht="15.75" x14ac:dyDescent="0.25">
      <c r="A20" s="53">
        <f t="shared" si="4"/>
        <v>5</v>
      </c>
      <c r="B20" s="78" t="s">
        <v>1606</v>
      </c>
      <c r="C20" s="53" t="s">
        <v>23</v>
      </c>
      <c r="D20" s="79">
        <v>2</v>
      </c>
      <c r="E20" s="56">
        <v>340</v>
      </c>
      <c r="F20" s="56">
        <f t="shared" si="1"/>
        <v>680</v>
      </c>
      <c r="G20" s="142">
        <f t="shared" si="2"/>
        <v>115.60000000000001</v>
      </c>
      <c r="H20" s="125">
        <f t="shared" si="3"/>
        <v>397.79999999999995</v>
      </c>
      <c r="I20" s="56">
        <f t="shared" si="0"/>
        <v>795.59999999999991</v>
      </c>
      <c r="J20" s="83"/>
      <c r="N20" s="66"/>
    </row>
    <row r="21" spans="1:14" s="21" customFormat="1" ht="15.75" x14ac:dyDescent="0.25">
      <c r="A21" s="53">
        <f t="shared" si="4"/>
        <v>6</v>
      </c>
      <c r="B21" s="78" t="s">
        <v>1745</v>
      </c>
      <c r="C21" s="53" t="s">
        <v>23</v>
      </c>
      <c r="D21" s="79">
        <v>8</v>
      </c>
      <c r="E21" s="56">
        <v>42</v>
      </c>
      <c r="F21" s="56">
        <f t="shared" si="1"/>
        <v>336</v>
      </c>
      <c r="G21" s="142">
        <f t="shared" si="2"/>
        <v>57.120000000000005</v>
      </c>
      <c r="H21" s="125">
        <f t="shared" si="3"/>
        <v>49.14</v>
      </c>
      <c r="I21" s="56">
        <f t="shared" si="0"/>
        <v>393.12</v>
      </c>
      <c r="J21" s="83"/>
      <c r="N21" s="66"/>
    </row>
    <row r="22" spans="1:14" s="21" customFormat="1" ht="15.75" x14ac:dyDescent="0.25">
      <c r="A22" s="53">
        <f t="shared" si="4"/>
        <v>7</v>
      </c>
      <c r="B22" s="78" t="s">
        <v>1985</v>
      </c>
      <c r="C22" s="53" t="s">
        <v>23</v>
      </c>
      <c r="D22" s="79">
        <v>5</v>
      </c>
      <c r="E22" s="56">
        <v>210</v>
      </c>
      <c r="F22" s="56">
        <f t="shared" si="1"/>
        <v>1050</v>
      </c>
      <c r="G22" s="142">
        <f t="shared" si="2"/>
        <v>178.5</v>
      </c>
      <c r="H22" s="125">
        <f t="shared" si="3"/>
        <v>245.7</v>
      </c>
      <c r="I22" s="56">
        <f t="shared" si="0"/>
        <v>1228.5</v>
      </c>
      <c r="J22" s="83"/>
      <c r="N22" s="66"/>
    </row>
    <row r="23" spans="1:14" s="21" customFormat="1" ht="15.75" x14ac:dyDescent="0.25">
      <c r="A23" s="53">
        <f t="shared" si="4"/>
        <v>8</v>
      </c>
      <c r="B23" s="78" t="s">
        <v>1609</v>
      </c>
      <c r="C23" s="53" t="s">
        <v>1505</v>
      </c>
      <c r="D23" s="79">
        <v>12</v>
      </c>
      <c r="E23" s="56">
        <v>22</v>
      </c>
      <c r="F23" s="56">
        <f t="shared" si="1"/>
        <v>264</v>
      </c>
      <c r="G23" s="142">
        <f t="shared" si="2"/>
        <v>44.88</v>
      </c>
      <c r="H23" s="125">
        <f t="shared" si="3"/>
        <v>25.74</v>
      </c>
      <c r="I23" s="56">
        <f t="shared" si="0"/>
        <v>308.88</v>
      </c>
      <c r="J23" s="83"/>
      <c r="N23" s="66"/>
    </row>
    <row r="24" spans="1:14" s="21" customFormat="1" ht="15.75" x14ac:dyDescent="0.25">
      <c r="A24" s="53">
        <f t="shared" si="4"/>
        <v>9</v>
      </c>
      <c r="B24" s="78" t="s">
        <v>1610</v>
      </c>
      <c r="C24" s="53" t="s">
        <v>23</v>
      </c>
      <c r="D24" s="79">
        <v>4</v>
      </c>
      <c r="E24" s="56">
        <v>160</v>
      </c>
      <c r="F24" s="56">
        <f t="shared" si="1"/>
        <v>640</v>
      </c>
      <c r="G24" s="142">
        <f t="shared" si="2"/>
        <v>108.80000000000001</v>
      </c>
      <c r="H24" s="125">
        <f t="shared" si="3"/>
        <v>187.2</v>
      </c>
      <c r="I24" s="56">
        <f t="shared" si="0"/>
        <v>748.8</v>
      </c>
      <c r="J24" s="83"/>
      <c r="N24" s="66"/>
    </row>
    <row r="25" spans="1:14" s="21" customFormat="1" ht="15.75" x14ac:dyDescent="0.25">
      <c r="A25" s="53">
        <f t="shared" si="4"/>
        <v>10</v>
      </c>
      <c r="B25" s="78" t="s">
        <v>1611</v>
      </c>
      <c r="C25" s="53" t="s">
        <v>23</v>
      </c>
      <c r="D25" s="79">
        <v>4</v>
      </c>
      <c r="E25" s="56">
        <v>250</v>
      </c>
      <c r="F25" s="56">
        <f t="shared" si="1"/>
        <v>1000</v>
      </c>
      <c r="G25" s="142">
        <f t="shared" si="2"/>
        <v>170</v>
      </c>
      <c r="H25" s="125">
        <f t="shared" si="3"/>
        <v>292.5</v>
      </c>
      <c r="I25" s="56">
        <f t="shared" si="0"/>
        <v>1170</v>
      </c>
      <c r="J25" s="83"/>
      <c r="N25" s="66"/>
    </row>
    <row r="26" spans="1:14" s="21" customFormat="1" ht="15.75" x14ac:dyDescent="0.25">
      <c r="A26" s="53">
        <f t="shared" si="4"/>
        <v>11</v>
      </c>
      <c r="B26" s="78" t="s">
        <v>918</v>
      </c>
      <c r="C26" s="53" t="s">
        <v>23</v>
      </c>
      <c r="D26" s="79">
        <v>12</v>
      </c>
      <c r="E26" s="56">
        <v>28</v>
      </c>
      <c r="F26" s="56">
        <f t="shared" si="1"/>
        <v>336</v>
      </c>
      <c r="G26" s="142">
        <f t="shared" si="2"/>
        <v>57.120000000000005</v>
      </c>
      <c r="H26" s="125">
        <f t="shared" si="3"/>
        <v>32.76</v>
      </c>
      <c r="I26" s="56">
        <f t="shared" si="0"/>
        <v>393.12</v>
      </c>
      <c r="J26" s="83"/>
      <c r="N26" s="66"/>
    </row>
    <row r="27" spans="1:14" s="21" customFormat="1" ht="15.75" x14ac:dyDescent="0.25">
      <c r="A27" s="53">
        <f t="shared" si="4"/>
        <v>12</v>
      </c>
      <c r="B27" s="78" t="s">
        <v>1612</v>
      </c>
      <c r="C27" s="53" t="s">
        <v>23</v>
      </c>
      <c r="D27" s="79">
        <v>5</v>
      </c>
      <c r="E27" s="56">
        <v>180</v>
      </c>
      <c r="F27" s="56">
        <f t="shared" si="1"/>
        <v>900</v>
      </c>
      <c r="G27" s="142">
        <f t="shared" si="2"/>
        <v>153</v>
      </c>
      <c r="H27" s="125">
        <f t="shared" si="3"/>
        <v>210.6</v>
      </c>
      <c r="I27" s="56">
        <f t="shared" si="0"/>
        <v>1053</v>
      </c>
      <c r="J27" s="83"/>
      <c r="N27" s="66"/>
    </row>
    <row r="28" spans="1:14" s="21" customFormat="1" ht="15.75" x14ac:dyDescent="0.25">
      <c r="A28" s="53">
        <f t="shared" si="4"/>
        <v>13</v>
      </c>
      <c r="B28" s="78" t="s">
        <v>1986</v>
      </c>
      <c r="C28" s="53" t="s">
        <v>23</v>
      </c>
      <c r="D28" s="79">
        <v>1</v>
      </c>
      <c r="E28" s="56">
        <v>180</v>
      </c>
      <c r="F28" s="56">
        <f t="shared" si="1"/>
        <v>180</v>
      </c>
      <c r="G28" s="142">
        <f t="shared" si="2"/>
        <v>30.6</v>
      </c>
      <c r="H28" s="125">
        <f t="shared" si="3"/>
        <v>210.6</v>
      </c>
      <c r="I28" s="56">
        <f t="shared" si="0"/>
        <v>210.6</v>
      </c>
      <c r="J28" s="83"/>
      <c r="N28" s="66"/>
    </row>
    <row r="29" spans="1:14" s="21" customFormat="1" ht="15.75" x14ac:dyDescent="0.25">
      <c r="A29" s="53">
        <f t="shared" si="4"/>
        <v>14</v>
      </c>
      <c r="B29" s="78" t="s">
        <v>1987</v>
      </c>
      <c r="C29" s="53" t="s">
        <v>23</v>
      </c>
      <c r="D29" s="79">
        <v>1</v>
      </c>
      <c r="E29" s="56">
        <v>180</v>
      </c>
      <c r="F29" s="56">
        <f t="shared" si="1"/>
        <v>180</v>
      </c>
      <c r="G29" s="142">
        <f t="shared" si="2"/>
        <v>30.6</v>
      </c>
      <c r="H29" s="125">
        <f t="shared" si="3"/>
        <v>210.6</v>
      </c>
      <c r="I29" s="56">
        <f t="shared" si="0"/>
        <v>210.6</v>
      </c>
      <c r="J29" s="83"/>
      <c r="N29" s="66"/>
    </row>
    <row r="30" spans="1:14" s="21" customFormat="1" ht="15.75" x14ac:dyDescent="0.25">
      <c r="A30" s="53">
        <f t="shared" si="4"/>
        <v>15</v>
      </c>
      <c r="B30" s="78" t="s">
        <v>1988</v>
      </c>
      <c r="C30" s="53" t="s">
        <v>23</v>
      </c>
      <c r="D30" s="79">
        <v>10</v>
      </c>
      <c r="E30" s="56">
        <v>120</v>
      </c>
      <c r="F30" s="56">
        <f t="shared" si="1"/>
        <v>1200</v>
      </c>
      <c r="G30" s="142">
        <f t="shared" si="2"/>
        <v>204.00000000000003</v>
      </c>
      <c r="H30" s="125">
        <f t="shared" si="3"/>
        <v>140.39999999999998</v>
      </c>
      <c r="I30" s="56">
        <f t="shared" si="0"/>
        <v>1403.9999999999998</v>
      </c>
      <c r="J30" s="83"/>
      <c r="N30" s="66"/>
    </row>
    <row r="31" spans="1:14" s="21" customFormat="1" ht="15.75" x14ac:dyDescent="0.25">
      <c r="A31" s="53">
        <f t="shared" si="4"/>
        <v>16</v>
      </c>
      <c r="B31" s="78" t="s">
        <v>1746</v>
      </c>
      <c r="C31" s="53" t="s">
        <v>23</v>
      </c>
      <c r="D31" s="79">
        <v>1</v>
      </c>
      <c r="E31" s="56">
        <v>300</v>
      </c>
      <c r="F31" s="56">
        <f t="shared" si="1"/>
        <v>300</v>
      </c>
      <c r="G31" s="142">
        <f t="shared" si="2"/>
        <v>51.000000000000007</v>
      </c>
      <c r="H31" s="125">
        <f t="shared" si="3"/>
        <v>351</v>
      </c>
      <c r="I31" s="56">
        <f t="shared" si="0"/>
        <v>351</v>
      </c>
      <c r="J31" s="83"/>
      <c r="N31" s="66"/>
    </row>
    <row r="32" spans="1:14" s="21" customFormat="1" ht="15.75" x14ac:dyDescent="0.25">
      <c r="A32" s="53">
        <f t="shared" si="4"/>
        <v>17</v>
      </c>
      <c r="B32" s="78" t="s">
        <v>1615</v>
      </c>
      <c r="C32" s="53" t="s">
        <v>23</v>
      </c>
      <c r="D32" s="79">
        <v>1</v>
      </c>
      <c r="E32" s="56">
        <v>90</v>
      </c>
      <c r="F32" s="56">
        <f t="shared" ref="F32:F34" si="5">D32*E32</f>
        <v>90</v>
      </c>
      <c r="G32" s="142">
        <f t="shared" si="2"/>
        <v>15.3</v>
      </c>
      <c r="H32" s="125">
        <f t="shared" si="3"/>
        <v>105.3</v>
      </c>
      <c r="I32" s="56">
        <f t="shared" ref="I32:I34" si="6">H32*D32</f>
        <v>105.3</v>
      </c>
      <c r="J32" s="83"/>
      <c r="N32" s="66"/>
    </row>
    <row r="33" spans="1:18" s="21" customFormat="1" ht="15.75" x14ac:dyDescent="0.25">
      <c r="A33" s="53">
        <f>A31+1</f>
        <v>17</v>
      </c>
      <c r="B33" s="78" t="s">
        <v>1747</v>
      </c>
      <c r="C33" s="53" t="s">
        <v>23</v>
      </c>
      <c r="D33" s="79">
        <v>1</v>
      </c>
      <c r="E33" s="56">
        <v>40</v>
      </c>
      <c r="F33" s="56">
        <f t="shared" ref="F33" si="7">D33*E33</f>
        <v>40</v>
      </c>
      <c r="G33" s="142">
        <f t="shared" si="2"/>
        <v>6.8000000000000007</v>
      </c>
      <c r="H33" s="125">
        <f t="shared" si="3"/>
        <v>46.8</v>
      </c>
      <c r="I33" s="56">
        <f t="shared" ref="I33" si="8">H33*D33</f>
        <v>46.8</v>
      </c>
      <c r="J33" s="83"/>
      <c r="N33" s="66"/>
    </row>
    <row r="34" spans="1:18" s="21" customFormat="1" ht="15.75" x14ac:dyDescent="0.25">
      <c r="A34" s="53">
        <f>A32+1</f>
        <v>18</v>
      </c>
      <c r="B34" s="78" t="s">
        <v>1989</v>
      </c>
      <c r="C34" s="53" t="s">
        <v>23</v>
      </c>
      <c r="D34" s="79">
        <v>1</v>
      </c>
      <c r="E34" s="56">
        <v>350</v>
      </c>
      <c r="F34" s="56">
        <f t="shared" si="5"/>
        <v>350</v>
      </c>
      <c r="G34" s="142">
        <f t="shared" si="2"/>
        <v>59.500000000000007</v>
      </c>
      <c r="H34" s="125">
        <f t="shared" si="3"/>
        <v>409.5</v>
      </c>
      <c r="I34" s="56">
        <f t="shared" si="6"/>
        <v>409.5</v>
      </c>
      <c r="J34" s="83"/>
      <c r="N34" s="66"/>
    </row>
    <row r="35" spans="1:18" s="21" customFormat="1" x14ac:dyDescent="0.25">
      <c r="A35" s="53"/>
      <c r="B35" s="47"/>
      <c r="C35" s="53"/>
      <c r="D35" s="79"/>
      <c r="E35" s="56"/>
      <c r="F35" s="56"/>
      <c r="G35" s="56"/>
      <c r="H35" s="57"/>
      <c r="I35" s="56"/>
      <c r="J35" s="58"/>
      <c r="N35" s="66"/>
    </row>
    <row r="36" spans="1:18" ht="15.75" thickBot="1" x14ac:dyDescent="0.3">
      <c r="A36" s="33"/>
      <c r="B36" s="34" t="s">
        <v>24</v>
      </c>
      <c r="C36" s="35"/>
      <c r="D36" s="62">
        <f>SUM(D16:D35)</f>
        <v>97</v>
      </c>
      <c r="E36" s="35"/>
      <c r="F36" s="62">
        <f>SUM(F16:F35)</f>
        <v>10916</v>
      </c>
      <c r="G36" s="62">
        <f>SUM(G16:G35)</f>
        <v>1855.7199999999998</v>
      </c>
      <c r="H36" s="35"/>
      <c r="I36" s="62">
        <f>SUM(I16:I35)</f>
        <v>12771.72</v>
      </c>
      <c r="J36" s="37"/>
    </row>
    <row r="37" spans="1:18" ht="15.75" thickTop="1" x14ac:dyDescent="0.25">
      <c r="A37" s="33"/>
      <c r="B37" s="34" t="s">
        <v>1992</v>
      </c>
      <c r="C37" s="35"/>
      <c r="D37" s="35"/>
      <c r="E37" s="35"/>
      <c r="F37" s="35"/>
      <c r="G37" s="35"/>
      <c r="H37" s="35"/>
      <c r="I37" s="35"/>
      <c r="J37" s="37"/>
    </row>
    <row r="38" spans="1:18" x14ac:dyDescent="0.25">
      <c r="A38" s="33"/>
      <c r="B38" s="38" t="s">
        <v>25</v>
      </c>
      <c r="C38" s="35"/>
      <c r="D38" s="35"/>
      <c r="E38" s="35"/>
      <c r="F38" s="35"/>
      <c r="G38" s="35"/>
      <c r="H38" s="35"/>
      <c r="I38" s="35"/>
      <c r="J38" s="37"/>
      <c r="M38" s="64"/>
      <c r="O38" s="65"/>
      <c r="P38" s="64"/>
      <c r="Q38" s="64"/>
      <c r="R38" s="64"/>
    </row>
    <row r="39" spans="1:18" ht="30" customHeight="1" x14ac:dyDescent="0.25">
      <c r="B39" s="183" t="s">
        <v>26</v>
      </c>
      <c r="C39" s="183"/>
      <c r="D39" s="183"/>
      <c r="E39" s="183"/>
      <c r="F39" s="183"/>
      <c r="G39" s="183"/>
      <c r="H39" s="183"/>
      <c r="I39" s="183"/>
      <c r="J39" s="183"/>
      <c r="P39" s="64"/>
      <c r="R39" s="65"/>
    </row>
    <row r="40" spans="1:18" x14ac:dyDescent="0.25">
      <c r="B40" t="s">
        <v>634</v>
      </c>
    </row>
    <row r="43" spans="1:18" x14ac:dyDescent="0.25">
      <c r="B43" t="s">
        <v>28</v>
      </c>
      <c r="H43" t="s">
        <v>28</v>
      </c>
    </row>
    <row r="44" spans="1:18" x14ac:dyDescent="0.25">
      <c r="B44" t="s">
        <v>29</v>
      </c>
      <c r="H44" t="s">
        <v>30</v>
      </c>
    </row>
  </sheetData>
  <autoFilter ref="A15:J40" xr:uid="{00000000-0009-0000-0000-000000000000}"/>
  <mergeCells count="5">
    <mergeCell ref="A6:J6"/>
    <mergeCell ref="I7:J7"/>
    <mergeCell ref="I8:J8"/>
    <mergeCell ref="I9:J9"/>
    <mergeCell ref="B39:J39"/>
  </mergeCells>
  <hyperlinks>
    <hyperlink ref="H5" r:id="rId1" xr:uid="{608DB91A-8F6D-429D-8E82-FDD8C0FCC125}"/>
  </hyperlinks>
  <pageMargins left="0.2" right="0.1" top="0.25" bottom="0.25" header="0.3" footer="0.3"/>
  <pageSetup paperSize="9" orientation="portrait" r:id="rId2"/>
  <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52D28-B2C1-4C4A-8793-E51C4A763076}">
  <dimension ref="A1:R26"/>
  <sheetViews>
    <sheetView workbookViewId="0">
      <selection activeCell="A19" sqref="A19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1976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1977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1978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x14ac:dyDescent="0.25">
      <c r="A16" s="53">
        <v>1</v>
      </c>
      <c r="B16" s="78" t="s">
        <v>1979</v>
      </c>
      <c r="C16" s="53" t="s">
        <v>1234</v>
      </c>
      <c r="D16" s="79">
        <v>40</v>
      </c>
      <c r="E16" s="82">
        <v>180</v>
      </c>
      <c r="F16" s="56">
        <f>D16*E16</f>
        <v>7200</v>
      </c>
      <c r="G16" s="56">
        <f>F16*0.17</f>
        <v>1224</v>
      </c>
      <c r="H16" s="74">
        <f>E16*1.17</f>
        <v>210.6</v>
      </c>
      <c r="I16" s="56">
        <f>H16*D16</f>
        <v>8424</v>
      </c>
      <c r="J16" s="131" t="s">
        <v>1762</v>
      </c>
      <c r="M16" s="21">
        <f t="shared" ref="M16:M17" si="0">440*1.02</f>
        <v>448.8</v>
      </c>
      <c r="N16" s="66" t="e">
        <f>M16-#REF!</f>
        <v>#REF!</v>
      </c>
      <c r="O16" s="21" t="e">
        <f t="shared" ref="O16:O17" si="1">N16*D16</f>
        <v>#REF!</v>
      </c>
    </row>
    <row r="17" spans="1:18" s="21" customFormat="1" x14ac:dyDescent="0.25">
      <c r="A17" s="53"/>
      <c r="B17" s="47"/>
      <c r="C17" s="82"/>
      <c r="D17" s="57"/>
      <c r="E17" s="56"/>
      <c r="F17" s="56">
        <f t="shared" ref="F17" si="2">D17*E17</f>
        <v>0</v>
      </c>
      <c r="G17" s="56">
        <f t="shared" ref="G17" si="3">F17*0.17</f>
        <v>0</v>
      </c>
      <c r="H17" s="57">
        <f t="shared" ref="H17" si="4">E17*1.17</f>
        <v>0</v>
      </c>
      <c r="I17" s="56">
        <f t="shared" ref="I17" si="5">H17*D17</f>
        <v>0</v>
      </c>
      <c r="J17" s="58"/>
      <c r="M17" s="21">
        <f t="shared" si="0"/>
        <v>448.8</v>
      </c>
      <c r="N17" s="66" t="e">
        <f>M17-#REF!</f>
        <v>#REF!</v>
      </c>
      <c r="O17" s="21" t="e">
        <f t="shared" si="1"/>
        <v>#REF!</v>
      </c>
    </row>
    <row r="18" spans="1:18" ht="15.75" thickBot="1" x14ac:dyDescent="0.3">
      <c r="A18" s="33"/>
      <c r="B18" s="34" t="s">
        <v>24</v>
      </c>
      <c r="C18" s="35"/>
      <c r="D18" s="62">
        <f>SUM(D16:D17)</f>
        <v>40</v>
      </c>
      <c r="E18" s="35"/>
      <c r="F18" s="62">
        <f>SUM(F16:F17)</f>
        <v>7200</v>
      </c>
      <c r="G18" s="62">
        <f>SUM(G16:G17)</f>
        <v>1224</v>
      </c>
      <c r="H18" s="35"/>
      <c r="I18" s="62">
        <f>SUM(I16:I17)</f>
        <v>8424</v>
      </c>
      <c r="J18" s="37"/>
      <c r="M18" t="e">
        <f>#REF!/117*100</f>
        <v>#REF!</v>
      </c>
      <c r="O18" t="e">
        <f>M18*1.1</f>
        <v>#REF!</v>
      </c>
    </row>
    <row r="19" spans="1:18" ht="15.75" thickTop="1" x14ac:dyDescent="0.25">
      <c r="A19" s="33"/>
      <c r="B19" s="34" t="s">
        <v>1980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 t="e">
        <f>M18*#REF!</f>
        <v>#REF!</v>
      </c>
      <c r="O20" s="65" t="e">
        <f>#REF!</f>
        <v>#REF!</v>
      </c>
      <c r="P20" s="64" t="e">
        <f>O20-M20</f>
        <v>#REF!</v>
      </c>
      <c r="Q20" s="64" t="e">
        <f>#REF!*0.045</f>
        <v>#REF!</v>
      </c>
      <c r="R20" s="64" t="e">
        <f>P20-Q20</f>
        <v>#REF!</v>
      </c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 t="e">
        <f>#REF!-#REF!</f>
        <v>#REF!</v>
      </c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4204D57F-85A6-480C-8CCD-AFB84AAE9BD5}"/>
  </hyperlinks>
  <pageMargins left="0.2" right="0.1" top="0.25" bottom="0.25" header="0.3" footer="0.3"/>
  <pageSetup paperSize="9" orientation="portrait" r:id="rId2"/>
  <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DA220-DF73-4575-A073-51AADD7844A6}">
  <dimension ref="A1:R25"/>
  <sheetViews>
    <sheetView workbookViewId="0">
      <selection activeCell="H11" sqref="H1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1973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1972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1974</v>
      </c>
      <c r="J9" s="188"/>
    </row>
    <row r="10" spans="1:14" x14ac:dyDescent="0.25">
      <c r="B10" t="s">
        <v>9</v>
      </c>
      <c r="C10" s="10" t="s">
        <v>2081</v>
      </c>
      <c r="D10" s="10"/>
      <c r="E10" s="10"/>
      <c r="F10" s="10"/>
    </row>
    <row r="11" spans="1:14" x14ac:dyDescent="0.25">
      <c r="B11" t="s">
        <v>11</v>
      </c>
      <c r="C11" s="10" t="s">
        <v>1820</v>
      </c>
      <c r="D11" s="11"/>
      <c r="E11" s="11"/>
      <c r="F11" s="11"/>
    </row>
    <row r="12" spans="1:14" x14ac:dyDescent="0.25">
      <c r="A12" s="12"/>
      <c r="B12" s="13"/>
      <c r="C12" s="14" t="s">
        <v>2082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1975</v>
      </c>
      <c r="C16" s="53" t="s">
        <v>987</v>
      </c>
      <c r="D16" s="79">
        <v>2</v>
      </c>
      <c r="E16" s="56">
        <v>5500</v>
      </c>
      <c r="F16" s="56">
        <f t="shared" ref="F16" si="0">D16*E16</f>
        <v>11000</v>
      </c>
      <c r="G16" s="56">
        <f t="shared" ref="G16" si="1">F16*0.17</f>
        <v>1870.0000000000002</v>
      </c>
      <c r="H16" s="129">
        <f t="shared" ref="H16" si="2">E16*1.17</f>
        <v>6435</v>
      </c>
      <c r="I16" s="56">
        <f t="shared" ref="I16" si="3">H16*D16</f>
        <v>12870</v>
      </c>
      <c r="J16" s="83"/>
      <c r="N16" s="66"/>
    </row>
    <row r="17" spans="1:18" ht="15.75" thickBot="1" x14ac:dyDescent="0.3">
      <c r="A17" s="33"/>
      <c r="B17" s="34" t="s">
        <v>24</v>
      </c>
      <c r="C17" s="35"/>
      <c r="D17" s="62">
        <f>SUM(D16:D16)</f>
        <v>2</v>
      </c>
      <c r="E17" s="35"/>
      <c r="F17" s="62">
        <f>SUM(F16:F16)</f>
        <v>11000</v>
      </c>
      <c r="G17" s="62">
        <f>SUM(G16:G16)</f>
        <v>1870.0000000000002</v>
      </c>
      <c r="H17" s="35"/>
      <c r="I17" s="62">
        <f>SUM(I16:I16)</f>
        <v>12870</v>
      </c>
      <c r="J17" s="37"/>
    </row>
    <row r="18" spans="1:18" ht="15.75" thickTop="1" x14ac:dyDescent="0.25">
      <c r="A18" s="33"/>
      <c r="B18" s="34" t="s">
        <v>1229</v>
      </c>
      <c r="C18" s="35"/>
      <c r="D18" s="35"/>
      <c r="E18" s="35"/>
      <c r="F18" s="35"/>
      <c r="G18" s="35"/>
      <c r="H18" s="35"/>
      <c r="I18" s="35"/>
      <c r="J18" s="37"/>
    </row>
    <row r="19" spans="1:18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  <c r="M19" s="64"/>
      <c r="O19" s="65"/>
      <c r="P19" s="64"/>
      <c r="Q19" s="64"/>
      <c r="R19" s="64"/>
    </row>
    <row r="20" spans="1:18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  <c r="P20" s="64"/>
      <c r="R20" s="65"/>
    </row>
    <row r="21" spans="1:18" x14ac:dyDescent="0.25">
      <c r="B21" t="s">
        <v>634</v>
      </c>
    </row>
    <row r="24" spans="1:18" x14ac:dyDescent="0.25">
      <c r="B24" t="s">
        <v>28</v>
      </c>
      <c r="H24" t="s">
        <v>28</v>
      </c>
    </row>
    <row r="25" spans="1:18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27735D97-22C7-4722-BF2D-091A077D18BE}"/>
  </hyperlinks>
  <pageMargins left="0.2" right="0.1" top="0.25" bottom="0.2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B4D1A-62DF-4012-848C-1B0666E1462F}">
  <dimension ref="A1:R26"/>
  <sheetViews>
    <sheetView topLeftCell="A8" workbookViewId="0">
      <selection activeCell="B20" sqref="B2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2312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2313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2321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2322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2325</v>
      </c>
      <c r="J9" s="188"/>
    </row>
    <row r="10" spans="1:14" x14ac:dyDescent="0.25">
      <c r="B10" t="s">
        <v>9</v>
      </c>
      <c r="C10" s="139" t="s">
        <v>2320</v>
      </c>
      <c r="D10" s="10"/>
      <c r="E10" s="10"/>
      <c r="F10" s="10"/>
    </row>
    <row r="11" spans="1:14" x14ac:dyDescent="0.25">
      <c r="B11" t="s">
        <v>11</v>
      </c>
      <c r="C11" s="132" t="s">
        <v>2323</v>
      </c>
      <c r="D11" s="11"/>
      <c r="E11" s="11"/>
      <c r="F11" s="11"/>
    </row>
    <row r="12" spans="1:14" x14ac:dyDescent="0.25">
      <c r="A12" s="12"/>
      <c r="B12" s="13"/>
      <c r="C12" s="140" t="s">
        <v>2324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189" t="s">
        <v>14</v>
      </c>
      <c r="C15" s="189"/>
      <c r="D15" s="76" t="s">
        <v>15</v>
      </c>
      <c r="E15" s="76" t="s">
        <v>16</v>
      </c>
      <c r="F15" s="76" t="s">
        <v>18</v>
      </c>
      <c r="G15" s="76" t="s">
        <v>1083</v>
      </c>
      <c r="H15" s="76" t="s">
        <v>21</v>
      </c>
      <c r="I15" s="190" t="s">
        <v>22</v>
      </c>
      <c r="J15" s="191"/>
    </row>
    <row r="16" spans="1:14" s="21" customFormat="1" ht="15.75" customHeight="1" x14ac:dyDescent="0.25">
      <c r="A16" s="53">
        <v>1</v>
      </c>
      <c r="B16" s="180" t="s">
        <v>2318</v>
      </c>
      <c r="C16" s="180"/>
      <c r="D16" s="53" t="s">
        <v>23</v>
      </c>
      <c r="E16" s="79">
        <v>211</v>
      </c>
      <c r="F16" s="56">
        <v>37970</v>
      </c>
      <c r="G16" s="149">
        <f>F16*0.17</f>
        <v>6454.9000000000005</v>
      </c>
      <c r="H16" s="56">
        <f>F16+G16</f>
        <v>44424.9</v>
      </c>
      <c r="I16" s="178"/>
      <c r="J16" s="179"/>
      <c r="N16" s="66"/>
    </row>
    <row r="17" spans="1:18" s="21" customFormat="1" ht="15.75" customHeight="1" x14ac:dyDescent="0.25">
      <c r="A17" s="53"/>
      <c r="B17" s="181"/>
      <c r="C17" s="182"/>
      <c r="D17" s="79"/>
      <c r="E17" s="56"/>
      <c r="F17" s="56"/>
      <c r="G17" s="149"/>
      <c r="H17" s="85"/>
      <c r="I17" s="178"/>
      <c r="J17" s="179"/>
      <c r="N17" s="66"/>
    </row>
    <row r="18" spans="1:18" ht="15.75" thickBot="1" x14ac:dyDescent="0.3">
      <c r="A18" s="33"/>
      <c r="B18" s="34" t="s">
        <v>24</v>
      </c>
      <c r="C18" s="35"/>
      <c r="E18" s="62">
        <f>SUM(E16:E17)</f>
        <v>211</v>
      </c>
      <c r="F18" s="62">
        <f>SUM(F16:F17)</f>
        <v>37970</v>
      </c>
      <c r="G18" s="62">
        <f>SUM(G16:G17)</f>
        <v>6454.9000000000005</v>
      </c>
      <c r="H18" s="62">
        <f>SUM(H16:H17)</f>
        <v>44424.9</v>
      </c>
      <c r="J18" s="37"/>
    </row>
    <row r="19" spans="1:18" ht="15.75" thickTop="1" x14ac:dyDescent="0.25">
      <c r="A19" s="33"/>
      <c r="B19" s="34" t="s">
        <v>2327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11">
    <mergeCell ref="A6:J6"/>
    <mergeCell ref="I7:J7"/>
    <mergeCell ref="I8:J8"/>
    <mergeCell ref="I9:J9"/>
    <mergeCell ref="B15:C15"/>
    <mergeCell ref="I15:J15"/>
    <mergeCell ref="B16:C16"/>
    <mergeCell ref="I16:J16"/>
    <mergeCell ref="B17:C17"/>
    <mergeCell ref="I17:J17"/>
    <mergeCell ref="B21:J21"/>
  </mergeCells>
  <hyperlinks>
    <hyperlink ref="H5" r:id="rId1" xr:uid="{53DDDDCF-8647-4B1B-ACD4-AE7758247B64}"/>
  </hyperlinks>
  <pageMargins left="0.2" right="0.1" top="0.25" bottom="0.25" header="0.3" footer="0.3"/>
  <pageSetup paperSize="9" orientation="portrait" r:id="rId2"/>
  <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785B9-C0F7-42B0-A0F2-6B9E68BB0615}">
  <dimension ref="A1:R30"/>
  <sheetViews>
    <sheetView topLeftCell="A20" workbookViewId="0">
      <selection activeCell="E33" sqref="E3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1964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1963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1965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x14ac:dyDescent="0.25">
      <c r="A16" s="53">
        <v>1</v>
      </c>
      <c r="B16" s="78" t="s">
        <v>1966</v>
      </c>
      <c r="C16" s="53" t="s">
        <v>1234</v>
      </c>
      <c r="D16" s="79">
        <v>30</v>
      </c>
      <c r="E16" s="82">
        <v>25</v>
      </c>
      <c r="F16" s="56">
        <f>D16*E16</f>
        <v>750</v>
      </c>
      <c r="G16" s="56">
        <f>F16*0.17</f>
        <v>127.50000000000001</v>
      </c>
      <c r="H16" s="74">
        <f>E16*1.17</f>
        <v>29.25</v>
      </c>
      <c r="I16" s="56">
        <f>H16*D16</f>
        <v>877.5</v>
      </c>
      <c r="J16" s="131" t="s">
        <v>1762</v>
      </c>
      <c r="M16" s="21">
        <f t="shared" ref="M16:M21" si="0">440*1.02</f>
        <v>448.8</v>
      </c>
      <c r="N16" s="66" t="e">
        <f>M16-#REF!</f>
        <v>#REF!</v>
      </c>
      <c r="O16" s="21" t="e">
        <f t="shared" ref="O16:O21" si="1">N16*D16</f>
        <v>#REF!</v>
      </c>
    </row>
    <row r="17" spans="1:18" s="21" customFormat="1" x14ac:dyDescent="0.25">
      <c r="A17" s="53">
        <v>2</v>
      </c>
      <c r="B17" s="78" t="s">
        <v>1967</v>
      </c>
      <c r="C17" s="53" t="s">
        <v>1234</v>
      </c>
      <c r="D17" s="79">
        <v>315</v>
      </c>
      <c r="E17" s="82">
        <v>28</v>
      </c>
      <c r="F17" s="56">
        <f t="shared" ref="F17:F21" si="2">D17*E17</f>
        <v>8820</v>
      </c>
      <c r="G17" s="56">
        <f t="shared" ref="G17:G21" si="3">F17*0.17</f>
        <v>1499.4</v>
      </c>
      <c r="H17" s="74">
        <f t="shared" ref="H17:H21" si="4">E17*1.17</f>
        <v>32.76</v>
      </c>
      <c r="I17" s="56">
        <f t="shared" ref="I17:I21" si="5">H17*D17</f>
        <v>10319.4</v>
      </c>
      <c r="J17" s="131" t="s">
        <v>1762</v>
      </c>
      <c r="N17" s="66"/>
    </row>
    <row r="18" spans="1:18" s="21" customFormat="1" x14ac:dyDescent="0.25">
      <c r="A18" s="53">
        <v>3</v>
      </c>
      <c r="B18" s="78" t="s">
        <v>1968</v>
      </c>
      <c r="C18" s="53" t="s">
        <v>1234</v>
      </c>
      <c r="D18" s="79">
        <v>6</v>
      </c>
      <c r="E18" s="82">
        <v>50</v>
      </c>
      <c r="F18" s="56">
        <f t="shared" si="2"/>
        <v>300</v>
      </c>
      <c r="G18" s="56">
        <f t="shared" si="3"/>
        <v>51.000000000000007</v>
      </c>
      <c r="H18" s="74">
        <f t="shared" si="4"/>
        <v>58.5</v>
      </c>
      <c r="I18" s="56">
        <f t="shared" si="5"/>
        <v>351</v>
      </c>
      <c r="J18" s="131" t="s">
        <v>1763</v>
      </c>
      <c r="N18" s="66"/>
    </row>
    <row r="19" spans="1:18" s="21" customFormat="1" x14ac:dyDescent="0.25">
      <c r="A19" s="53">
        <v>4</v>
      </c>
      <c r="B19" s="78" t="s">
        <v>1969</v>
      </c>
      <c r="C19" s="53" t="s">
        <v>1234</v>
      </c>
      <c r="D19" s="79">
        <v>68</v>
      </c>
      <c r="E19" s="82">
        <v>45</v>
      </c>
      <c r="F19" s="56">
        <f t="shared" ref="F19:F20" si="6">D19*E19</f>
        <v>3060</v>
      </c>
      <c r="G19" s="56">
        <f t="shared" ref="G19:G20" si="7">F19*0.17</f>
        <v>520.20000000000005</v>
      </c>
      <c r="H19" s="74">
        <f t="shared" ref="H19:H20" si="8">E19*1.17</f>
        <v>52.65</v>
      </c>
      <c r="I19" s="56">
        <f t="shared" ref="I19:I20" si="9">H19*D19</f>
        <v>3580.2</v>
      </c>
      <c r="J19" s="131" t="s">
        <v>1763</v>
      </c>
      <c r="N19" s="66"/>
    </row>
    <row r="20" spans="1:18" s="21" customFormat="1" x14ac:dyDescent="0.25">
      <c r="A20" s="53">
        <v>5</v>
      </c>
      <c r="B20" s="78" t="s">
        <v>1970</v>
      </c>
      <c r="C20" s="53" t="s">
        <v>1234</v>
      </c>
      <c r="D20" s="79">
        <v>37</v>
      </c>
      <c r="E20" s="82">
        <v>25</v>
      </c>
      <c r="F20" s="56">
        <f t="shared" si="6"/>
        <v>925</v>
      </c>
      <c r="G20" s="56">
        <f t="shared" si="7"/>
        <v>157.25</v>
      </c>
      <c r="H20" s="74">
        <f t="shared" si="8"/>
        <v>29.25</v>
      </c>
      <c r="I20" s="56">
        <f t="shared" si="9"/>
        <v>1082.25</v>
      </c>
      <c r="J20" s="131" t="s">
        <v>1762</v>
      </c>
      <c r="N20" s="66"/>
    </row>
    <row r="21" spans="1:18" s="21" customFormat="1" x14ac:dyDescent="0.25">
      <c r="A21" s="53"/>
      <c r="B21" s="47"/>
      <c r="C21" s="82"/>
      <c r="D21" s="57"/>
      <c r="E21" s="56"/>
      <c r="F21" s="56">
        <f t="shared" si="2"/>
        <v>0</v>
      </c>
      <c r="G21" s="56">
        <f t="shared" si="3"/>
        <v>0</v>
      </c>
      <c r="H21" s="57">
        <f t="shared" si="4"/>
        <v>0</v>
      </c>
      <c r="I21" s="56">
        <f t="shared" si="5"/>
        <v>0</v>
      </c>
      <c r="J21" s="58"/>
      <c r="M21" s="21">
        <f t="shared" si="0"/>
        <v>448.8</v>
      </c>
      <c r="N21" s="66" t="e">
        <f>M21-#REF!</f>
        <v>#REF!</v>
      </c>
      <c r="O21" s="21" t="e">
        <f t="shared" si="1"/>
        <v>#REF!</v>
      </c>
    </row>
    <row r="22" spans="1:18" ht="15.75" thickBot="1" x14ac:dyDescent="0.3">
      <c r="A22" s="33"/>
      <c r="B22" s="34" t="s">
        <v>24</v>
      </c>
      <c r="C22" s="35"/>
      <c r="D22" s="62">
        <f>SUM(D16:D21)</f>
        <v>456</v>
      </c>
      <c r="E22" s="35"/>
      <c r="F22" s="62">
        <f>SUM(F16:F21)</f>
        <v>13855</v>
      </c>
      <c r="G22" s="62">
        <f>SUM(G16:G21)</f>
        <v>2355.3500000000004</v>
      </c>
      <c r="H22" s="35"/>
      <c r="I22" s="62">
        <f>SUM(I16:I21)</f>
        <v>16210.349999999999</v>
      </c>
      <c r="J22" s="37"/>
      <c r="M22" t="e">
        <f>#REF!/117*100</f>
        <v>#REF!</v>
      </c>
      <c r="O22" t="e">
        <f>M22*1.1</f>
        <v>#REF!</v>
      </c>
    </row>
    <row r="23" spans="1:18" ht="15.75" thickTop="1" x14ac:dyDescent="0.25">
      <c r="A23" s="33"/>
      <c r="B23" s="34" t="s">
        <v>1971</v>
      </c>
      <c r="C23" s="35"/>
      <c r="D23" s="35"/>
      <c r="E23" s="35"/>
      <c r="F23" s="35"/>
      <c r="G23" s="35"/>
      <c r="H23" s="35"/>
      <c r="I23" s="35"/>
      <c r="J23" s="37"/>
    </row>
    <row r="24" spans="1:18" x14ac:dyDescent="0.25">
      <c r="A24" s="33"/>
      <c r="B24" s="38" t="s">
        <v>25</v>
      </c>
      <c r="C24" s="35"/>
      <c r="D24" s="35"/>
      <c r="E24" s="35"/>
      <c r="F24" s="35"/>
      <c r="G24" s="35"/>
      <c r="H24" s="35"/>
      <c r="I24" s="35"/>
      <c r="J24" s="37"/>
      <c r="M24" s="64" t="e">
        <f>M22*#REF!</f>
        <v>#REF!</v>
      </c>
      <c r="O24" s="65" t="e">
        <f>#REF!</f>
        <v>#REF!</v>
      </c>
      <c r="P24" s="64" t="e">
        <f>O24-M24</f>
        <v>#REF!</v>
      </c>
      <c r="Q24" s="64" t="e">
        <f>#REF!*0.045</f>
        <v>#REF!</v>
      </c>
      <c r="R24" s="64" t="e">
        <f>P24-Q24</f>
        <v>#REF!</v>
      </c>
    </row>
    <row r="25" spans="1:18" ht="30" customHeight="1" x14ac:dyDescent="0.25">
      <c r="B25" s="183" t="s">
        <v>26</v>
      </c>
      <c r="C25" s="183"/>
      <c r="D25" s="183"/>
      <c r="E25" s="183"/>
      <c r="F25" s="183"/>
      <c r="G25" s="183"/>
      <c r="H25" s="183"/>
      <c r="I25" s="183"/>
      <c r="J25" s="183"/>
      <c r="P25" s="64"/>
      <c r="R25" s="65" t="e">
        <f>#REF!-#REF!</f>
        <v>#REF!</v>
      </c>
    </row>
    <row r="26" spans="1:18" x14ac:dyDescent="0.25">
      <c r="B26" t="s">
        <v>634</v>
      </c>
    </row>
    <row r="29" spans="1:18" x14ac:dyDescent="0.25">
      <c r="B29" t="s">
        <v>28</v>
      </c>
      <c r="H29" t="s">
        <v>28</v>
      </c>
    </row>
    <row r="30" spans="1:18" x14ac:dyDescent="0.25">
      <c r="B30" t="s">
        <v>29</v>
      </c>
      <c r="H30" t="s">
        <v>30</v>
      </c>
    </row>
  </sheetData>
  <autoFilter ref="A15:J26" xr:uid="{00000000-0009-0000-0000-000000000000}"/>
  <mergeCells count="5">
    <mergeCell ref="A6:J6"/>
    <mergeCell ref="I7:J7"/>
    <mergeCell ref="I8:J8"/>
    <mergeCell ref="I9:J9"/>
    <mergeCell ref="B25:J25"/>
  </mergeCells>
  <hyperlinks>
    <hyperlink ref="H5" r:id="rId1" xr:uid="{AC3FE49B-034A-46C2-8E95-5A78B1F29C77}"/>
  </hyperlinks>
  <pageMargins left="0.2" right="0.1" top="0.25" bottom="0.25" header="0.3" footer="0.3"/>
  <pageSetup paperSize="9" orientation="portrait" r:id="rId2"/>
  <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8F86C-9476-40EA-B63C-03C763E11FC3}">
  <dimension ref="A1:R120"/>
  <sheetViews>
    <sheetView workbookViewId="0">
      <selection activeCell="A5" sqref="A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1925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1936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1937</v>
      </c>
      <c r="D10" s="10"/>
      <c r="E10" s="10"/>
      <c r="F10" s="10"/>
    </row>
    <row r="11" spans="1:14" x14ac:dyDescent="0.25">
      <c r="B11" t="s">
        <v>11</v>
      </c>
      <c r="C11" s="132" t="s">
        <v>1938</v>
      </c>
      <c r="D11" s="11"/>
      <c r="E11" s="11"/>
      <c r="F11" s="11"/>
    </row>
    <row r="12" spans="1:14" x14ac:dyDescent="0.25">
      <c r="A12" s="12"/>
      <c r="B12" s="13"/>
      <c r="C12" s="140" t="s">
        <v>1939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 t="s">
        <v>1940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1486</v>
      </c>
      <c r="C16" s="53" t="s">
        <v>931</v>
      </c>
      <c r="D16" s="79">
        <v>60</v>
      </c>
      <c r="E16" s="56">
        <v>90</v>
      </c>
      <c r="F16" s="56">
        <f>D16*E16</f>
        <v>5400</v>
      </c>
      <c r="G16" s="149">
        <f>F16*0.17</f>
        <v>918.00000000000011</v>
      </c>
      <c r="H16" s="85">
        <f>E16*1.17</f>
        <v>105.3</v>
      </c>
      <c r="I16" s="56">
        <f t="shared" ref="I16" si="0">H16*D16</f>
        <v>6318</v>
      </c>
      <c r="J16" s="83" t="s">
        <v>1953</v>
      </c>
      <c r="N16" s="66"/>
    </row>
    <row r="17" spans="1:14" s="21" customFormat="1" ht="15.75" x14ac:dyDescent="0.25">
      <c r="A17" s="53">
        <f>A16+1</f>
        <v>2</v>
      </c>
      <c r="B17" s="78" t="s">
        <v>1941</v>
      </c>
      <c r="C17" s="53" t="s">
        <v>76</v>
      </c>
      <c r="D17" s="79">
        <v>5</v>
      </c>
      <c r="E17" s="56">
        <v>75</v>
      </c>
      <c r="F17" s="56">
        <f>D17*E17</f>
        <v>375</v>
      </c>
      <c r="G17" s="150">
        <f>F17*0</f>
        <v>0</v>
      </c>
      <c r="H17" s="85">
        <f t="shared" ref="H17:H73" si="1">E17+G17</f>
        <v>75</v>
      </c>
      <c r="I17" s="56">
        <f t="shared" ref="I17:I80" si="2">H17*D17</f>
        <v>375</v>
      </c>
      <c r="J17" s="83" t="s">
        <v>1954</v>
      </c>
      <c r="N17" s="66"/>
    </row>
    <row r="18" spans="1:14" s="21" customFormat="1" ht="15.75" x14ac:dyDescent="0.25">
      <c r="A18" s="53">
        <f t="shared" ref="A18:A81" si="3">A17+1</f>
        <v>3</v>
      </c>
      <c r="B18" s="78" t="s">
        <v>417</v>
      </c>
      <c r="C18" s="53" t="s">
        <v>23</v>
      </c>
      <c r="D18" s="79">
        <v>18</v>
      </c>
      <c r="E18" s="56">
        <v>180</v>
      </c>
      <c r="F18" s="56">
        <f t="shared" ref="F18:F80" si="4">D18*E18</f>
        <v>3240</v>
      </c>
      <c r="G18" s="149">
        <f>F18*0.17</f>
        <v>550.80000000000007</v>
      </c>
      <c r="H18" s="85">
        <f>E18*1.17</f>
        <v>210.6</v>
      </c>
      <c r="I18" s="56">
        <f t="shared" si="2"/>
        <v>3790.7999999999997</v>
      </c>
      <c r="J18" s="83" t="s">
        <v>1954</v>
      </c>
      <c r="N18" s="66"/>
    </row>
    <row r="19" spans="1:14" s="21" customFormat="1" ht="15.75" x14ac:dyDescent="0.25">
      <c r="A19" s="53">
        <f t="shared" si="3"/>
        <v>4</v>
      </c>
      <c r="B19" s="78" t="s">
        <v>1942</v>
      </c>
      <c r="C19" s="53" t="s">
        <v>76</v>
      </c>
      <c r="D19" s="79">
        <v>2</v>
      </c>
      <c r="E19" s="56">
        <v>1380</v>
      </c>
      <c r="F19" s="56">
        <f t="shared" si="4"/>
        <v>2760</v>
      </c>
      <c r="G19" s="150">
        <f t="shared" ref="G19:G20" si="5">F19*0</f>
        <v>0</v>
      </c>
      <c r="H19" s="130">
        <f t="shared" si="1"/>
        <v>1380</v>
      </c>
      <c r="I19" s="56">
        <f t="shared" si="2"/>
        <v>2760</v>
      </c>
      <c r="J19" s="83" t="s">
        <v>1954</v>
      </c>
      <c r="N19" s="66"/>
    </row>
    <row r="20" spans="1:14" s="21" customFormat="1" ht="15.75" x14ac:dyDescent="0.25">
      <c r="A20" s="53">
        <f t="shared" si="3"/>
        <v>5</v>
      </c>
      <c r="B20" s="78" t="s">
        <v>1943</v>
      </c>
      <c r="C20" s="53" t="s">
        <v>76</v>
      </c>
      <c r="D20" s="79">
        <v>2</v>
      </c>
      <c r="E20" s="56">
        <v>1380</v>
      </c>
      <c r="F20" s="56">
        <f t="shared" si="4"/>
        <v>2760</v>
      </c>
      <c r="G20" s="150">
        <f t="shared" si="5"/>
        <v>0</v>
      </c>
      <c r="H20" s="130">
        <f t="shared" si="1"/>
        <v>1380</v>
      </c>
      <c r="I20" s="56">
        <f t="shared" si="2"/>
        <v>2760</v>
      </c>
      <c r="J20" s="83" t="s">
        <v>1954</v>
      </c>
      <c r="N20" s="66"/>
    </row>
    <row r="21" spans="1:14" s="21" customFormat="1" ht="15.75" x14ac:dyDescent="0.25">
      <c r="A21" s="53">
        <f t="shared" si="3"/>
        <v>6</v>
      </c>
      <c r="B21" s="78" t="s">
        <v>1944</v>
      </c>
      <c r="C21" s="53" t="s">
        <v>23</v>
      </c>
      <c r="D21" s="79">
        <v>12</v>
      </c>
      <c r="E21" s="56">
        <v>380</v>
      </c>
      <c r="F21" s="56">
        <f t="shared" si="4"/>
        <v>4560</v>
      </c>
      <c r="G21" s="149">
        <f t="shared" ref="G21:G29" si="6">F21*0.17</f>
        <v>775.2</v>
      </c>
      <c r="H21" s="85">
        <f t="shared" ref="H21:H29" si="7">E21*1.17</f>
        <v>444.59999999999997</v>
      </c>
      <c r="I21" s="56">
        <f t="shared" si="2"/>
        <v>5335.2</v>
      </c>
      <c r="J21" s="83" t="s">
        <v>1954</v>
      </c>
      <c r="N21" s="66"/>
    </row>
    <row r="22" spans="1:14" s="21" customFormat="1" ht="15.75" x14ac:dyDescent="0.25">
      <c r="A22" s="53">
        <f t="shared" si="3"/>
        <v>7</v>
      </c>
      <c r="B22" s="78" t="s">
        <v>1945</v>
      </c>
      <c r="C22" s="53" t="s">
        <v>165</v>
      </c>
      <c r="D22" s="79">
        <v>1</v>
      </c>
      <c r="E22" s="56">
        <v>850</v>
      </c>
      <c r="F22" s="56">
        <f t="shared" si="4"/>
        <v>850</v>
      </c>
      <c r="G22" s="149">
        <f t="shared" si="6"/>
        <v>144.5</v>
      </c>
      <c r="H22" s="85">
        <f t="shared" si="7"/>
        <v>994.49999999999989</v>
      </c>
      <c r="I22" s="56">
        <f t="shared" si="2"/>
        <v>994.49999999999989</v>
      </c>
      <c r="J22" s="83" t="s">
        <v>1954</v>
      </c>
      <c r="N22" s="66"/>
    </row>
    <row r="23" spans="1:14" s="21" customFormat="1" ht="25.5" x14ac:dyDescent="0.25">
      <c r="A23" s="53">
        <f t="shared" si="3"/>
        <v>8</v>
      </c>
      <c r="B23" s="78" t="s">
        <v>1514</v>
      </c>
      <c r="C23" s="53" t="s">
        <v>1505</v>
      </c>
      <c r="D23" s="79">
        <v>1</v>
      </c>
      <c r="E23" s="56">
        <v>35</v>
      </c>
      <c r="F23" s="56">
        <f t="shared" si="4"/>
        <v>35</v>
      </c>
      <c r="G23" s="149">
        <f t="shared" si="6"/>
        <v>5.95</v>
      </c>
      <c r="H23" s="85">
        <f t="shared" si="7"/>
        <v>40.949999999999996</v>
      </c>
      <c r="I23" s="56">
        <f t="shared" si="2"/>
        <v>40.949999999999996</v>
      </c>
      <c r="J23" s="83" t="s">
        <v>1955</v>
      </c>
      <c r="N23" s="66"/>
    </row>
    <row r="24" spans="1:14" s="21" customFormat="1" ht="25.5" x14ac:dyDescent="0.25">
      <c r="A24" s="53">
        <f t="shared" si="3"/>
        <v>9</v>
      </c>
      <c r="B24" s="78" t="s">
        <v>1946</v>
      </c>
      <c r="C24" s="53" t="s">
        <v>1505</v>
      </c>
      <c r="D24" s="79">
        <v>1</v>
      </c>
      <c r="E24" s="56">
        <v>55</v>
      </c>
      <c r="F24" s="56">
        <f t="shared" si="4"/>
        <v>55</v>
      </c>
      <c r="G24" s="149">
        <f t="shared" si="6"/>
        <v>9.3500000000000014</v>
      </c>
      <c r="H24" s="85">
        <f t="shared" si="7"/>
        <v>64.349999999999994</v>
      </c>
      <c r="I24" s="56">
        <f t="shared" si="2"/>
        <v>64.349999999999994</v>
      </c>
      <c r="J24" s="83" t="s">
        <v>1955</v>
      </c>
      <c r="N24" s="66"/>
    </row>
    <row r="25" spans="1:14" s="21" customFormat="1" ht="25.5" x14ac:dyDescent="0.25">
      <c r="A25" s="53">
        <f t="shared" si="3"/>
        <v>10</v>
      </c>
      <c r="B25" s="78" t="s">
        <v>1947</v>
      </c>
      <c r="C25" s="53" t="s">
        <v>1505</v>
      </c>
      <c r="D25" s="79">
        <v>1</v>
      </c>
      <c r="E25" s="56">
        <v>75</v>
      </c>
      <c r="F25" s="56">
        <f t="shared" si="4"/>
        <v>75</v>
      </c>
      <c r="G25" s="149">
        <f t="shared" si="6"/>
        <v>12.750000000000002</v>
      </c>
      <c r="H25" s="85">
        <f t="shared" si="7"/>
        <v>87.75</v>
      </c>
      <c r="I25" s="56">
        <f t="shared" si="2"/>
        <v>87.75</v>
      </c>
      <c r="J25" s="83" t="s">
        <v>1955</v>
      </c>
      <c r="N25" s="66"/>
    </row>
    <row r="26" spans="1:14" s="21" customFormat="1" ht="25.5" x14ac:dyDescent="0.25">
      <c r="A26" s="53">
        <f t="shared" si="3"/>
        <v>11</v>
      </c>
      <c r="B26" s="78" t="s">
        <v>1515</v>
      </c>
      <c r="C26" s="53" t="s">
        <v>1505</v>
      </c>
      <c r="D26" s="79">
        <v>1</v>
      </c>
      <c r="E26" s="56">
        <v>100</v>
      </c>
      <c r="F26" s="56">
        <f t="shared" si="4"/>
        <v>100</v>
      </c>
      <c r="G26" s="149">
        <f t="shared" si="6"/>
        <v>17</v>
      </c>
      <c r="H26" s="85">
        <f t="shared" si="7"/>
        <v>117</v>
      </c>
      <c r="I26" s="56">
        <f t="shared" si="2"/>
        <v>117</v>
      </c>
      <c r="J26" s="83" t="s">
        <v>1955</v>
      </c>
      <c r="N26" s="66"/>
    </row>
    <row r="27" spans="1:14" s="21" customFormat="1" ht="15.75" x14ac:dyDescent="0.25">
      <c r="A27" s="53">
        <f t="shared" si="3"/>
        <v>12</v>
      </c>
      <c r="B27" s="78" t="s">
        <v>1516</v>
      </c>
      <c r="C27" s="53" t="s">
        <v>1506</v>
      </c>
      <c r="D27" s="79">
        <v>1</v>
      </c>
      <c r="E27" s="56">
        <v>18</v>
      </c>
      <c r="F27" s="56">
        <f t="shared" si="4"/>
        <v>18</v>
      </c>
      <c r="G27" s="149">
        <f t="shared" si="6"/>
        <v>3.06</v>
      </c>
      <c r="H27" s="85">
        <f t="shared" si="7"/>
        <v>21.06</v>
      </c>
      <c r="I27" s="56">
        <f t="shared" si="2"/>
        <v>21.06</v>
      </c>
      <c r="J27" s="83" t="s">
        <v>1955</v>
      </c>
      <c r="N27" s="66"/>
    </row>
    <row r="28" spans="1:14" s="21" customFormat="1" ht="15.75" x14ac:dyDescent="0.25">
      <c r="A28" s="53">
        <f t="shared" si="3"/>
        <v>13</v>
      </c>
      <c r="B28" s="78" t="s">
        <v>1486</v>
      </c>
      <c r="C28" s="53" t="s">
        <v>1506</v>
      </c>
      <c r="D28" s="79">
        <v>3</v>
      </c>
      <c r="E28" s="56">
        <v>90</v>
      </c>
      <c r="F28" s="56">
        <f t="shared" si="4"/>
        <v>270</v>
      </c>
      <c r="G28" s="149">
        <f t="shared" si="6"/>
        <v>45.900000000000006</v>
      </c>
      <c r="H28" s="85">
        <f t="shared" si="7"/>
        <v>105.3</v>
      </c>
      <c r="I28" s="56">
        <f t="shared" si="2"/>
        <v>315.89999999999998</v>
      </c>
      <c r="J28" s="83" t="s">
        <v>1955</v>
      </c>
      <c r="N28" s="66"/>
    </row>
    <row r="29" spans="1:14" s="21" customFormat="1" ht="15.75" x14ac:dyDescent="0.25">
      <c r="A29" s="53">
        <f t="shared" si="3"/>
        <v>14</v>
      </c>
      <c r="B29" s="78" t="s">
        <v>1487</v>
      </c>
      <c r="C29" s="53" t="s">
        <v>1506</v>
      </c>
      <c r="D29" s="79">
        <v>1</v>
      </c>
      <c r="E29" s="56">
        <v>155</v>
      </c>
      <c r="F29" s="56">
        <f t="shared" si="4"/>
        <v>155</v>
      </c>
      <c r="G29" s="149">
        <f t="shared" si="6"/>
        <v>26.35</v>
      </c>
      <c r="H29" s="85">
        <f t="shared" si="7"/>
        <v>181.35</v>
      </c>
      <c r="I29" s="56">
        <f t="shared" si="2"/>
        <v>181.35</v>
      </c>
      <c r="J29" s="83" t="s">
        <v>1955</v>
      </c>
      <c r="N29" s="66"/>
    </row>
    <row r="30" spans="1:14" s="21" customFormat="1" ht="25.5" x14ac:dyDescent="0.25">
      <c r="A30" s="53">
        <f t="shared" si="3"/>
        <v>15</v>
      </c>
      <c r="B30" s="78" t="s">
        <v>1488</v>
      </c>
      <c r="C30" s="53" t="s">
        <v>1505</v>
      </c>
      <c r="D30" s="79">
        <v>1</v>
      </c>
      <c r="E30" s="56">
        <v>300</v>
      </c>
      <c r="F30" s="56">
        <f t="shared" si="4"/>
        <v>300</v>
      </c>
      <c r="G30" s="150">
        <f t="shared" ref="G30:G34" si="8">F30*0</f>
        <v>0</v>
      </c>
      <c r="H30" s="85">
        <f t="shared" si="1"/>
        <v>300</v>
      </c>
      <c r="I30" s="56">
        <f t="shared" si="2"/>
        <v>300</v>
      </c>
      <c r="J30" s="83" t="s">
        <v>1955</v>
      </c>
      <c r="N30" s="66"/>
    </row>
    <row r="31" spans="1:14" s="21" customFormat="1" ht="25.5" x14ac:dyDescent="0.25">
      <c r="A31" s="53">
        <f t="shared" si="3"/>
        <v>16</v>
      </c>
      <c r="B31" s="78" t="s">
        <v>1520</v>
      </c>
      <c r="C31" s="53" t="s">
        <v>1505</v>
      </c>
      <c r="D31" s="79">
        <v>1</v>
      </c>
      <c r="E31" s="56">
        <v>300</v>
      </c>
      <c r="F31" s="56">
        <f t="shared" si="4"/>
        <v>300</v>
      </c>
      <c r="G31" s="150">
        <f t="shared" si="8"/>
        <v>0</v>
      </c>
      <c r="H31" s="85">
        <f t="shared" si="1"/>
        <v>300</v>
      </c>
      <c r="I31" s="56">
        <f t="shared" si="2"/>
        <v>300</v>
      </c>
      <c r="J31" s="83" t="s">
        <v>1955</v>
      </c>
      <c r="N31" s="66"/>
    </row>
    <row r="32" spans="1:14" s="21" customFormat="1" ht="25.5" x14ac:dyDescent="0.25">
      <c r="A32" s="53">
        <f t="shared" si="3"/>
        <v>17</v>
      </c>
      <c r="B32" s="78" t="s">
        <v>1521</v>
      </c>
      <c r="C32" s="53" t="s">
        <v>1505</v>
      </c>
      <c r="D32" s="79">
        <v>1</v>
      </c>
      <c r="E32" s="56">
        <v>300</v>
      </c>
      <c r="F32" s="56">
        <f t="shared" si="4"/>
        <v>300</v>
      </c>
      <c r="G32" s="150">
        <f t="shared" si="8"/>
        <v>0</v>
      </c>
      <c r="H32" s="85">
        <f t="shared" si="1"/>
        <v>300</v>
      </c>
      <c r="I32" s="56">
        <f t="shared" si="2"/>
        <v>300</v>
      </c>
      <c r="J32" s="83" t="s">
        <v>1955</v>
      </c>
      <c r="N32" s="66"/>
    </row>
    <row r="33" spans="1:14" s="21" customFormat="1" ht="25.5" x14ac:dyDescent="0.25">
      <c r="A33" s="53">
        <f t="shared" si="3"/>
        <v>18</v>
      </c>
      <c r="B33" s="78" t="s">
        <v>1522</v>
      </c>
      <c r="C33" s="53" t="s">
        <v>1505</v>
      </c>
      <c r="D33" s="79">
        <v>1</v>
      </c>
      <c r="E33" s="56">
        <v>300</v>
      </c>
      <c r="F33" s="56">
        <f t="shared" si="4"/>
        <v>300</v>
      </c>
      <c r="G33" s="150">
        <f t="shared" si="8"/>
        <v>0</v>
      </c>
      <c r="H33" s="85">
        <f t="shared" si="1"/>
        <v>300</v>
      </c>
      <c r="I33" s="56">
        <f t="shared" si="2"/>
        <v>300</v>
      </c>
      <c r="J33" s="83" t="s">
        <v>1955</v>
      </c>
      <c r="N33" s="66"/>
    </row>
    <row r="34" spans="1:14" s="21" customFormat="1" ht="25.5" x14ac:dyDescent="0.25">
      <c r="A34" s="53">
        <f t="shared" si="3"/>
        <v>19</v>
      </c>
      <c r="B34" s="78" t="s">
        <v>1513</v>
      </c>
      <c r="C34" s="53" t="s">
        <v>1505</v>
      </c>
      <c r="D34" s="79">
        <v>1</v>
      </c>
      <c r="E34" s="56">
        <v>75</v>
      </c>
      <c r="F34" s="56">
        <f t="shared" si="4"/>
        <v>75</v>
      </c>
      <c r="G34" s="150">
        <f t="shared" si="8"/>
        <v>0</v>
      </c>
      <c r="H34" s="85">
        <f t="shared" si="1"/>
        <v>75</v>
      </c>
      <c r="I34" s="56">
        <f t="shared" si="2"/>
        <v>75</v>
      </c>
      <c r="J34" s="83" t="s">
        <v>1955</v>
      </c>
      <c r="N34" s="66"/>
    </row>
    <row r="35" spans="1:14" s="21" customFormat="1" ht="15.75" x14ac:dyDescent="0.25">
      <c r="A35" s="53">
        <f t="shared" si="3"/>
        <v>20</v>
      </c>
      <c r="B35" s="78" t="s">
        <v>1489</v>
      </c>
      <c r="C35" s="53" t="s">
        <v>1506</v>
      </c>
      <c r="D35" s="79">
        <v>5</v>
      </c>
      <c r="E35" s="56">
        <v>12</v>
      </c>
      <c r="F35" s="56">
        <f t="shared" si="4"/>
        <v>60</v>
      </c>
      <c r="G35" s="149">
        <f t="shared" ref="G35:G38" si="9">F35*0.17</f>
        <v>10.200000000000001</v>
      </c>
      <c r="H35" s="85">
        <f t="shared" ref="H35:H38" si="10">E35*1.17</f>
        <v>14.04</v>
      </c>
      <c r="I35" s="56">
        <f t="shared" si="2"/>
        <v>70.199999999999989</v>
      </c>
      <c r="J35" s="83" t="s">
        <v>1955</v>
      </c>
      <c r="N35" s="66"/>
    </row>
    <row r="36" spans="1:14" s="21" customFormat="1" ht="15.75" x14ac:dyDescent="0.25">
      <c r="A36" s="53">
        <f t="shared" si="3"/>
        <v>21</v>
      </c>
      <c r="B36" s="78" t="s">
        <v>1524</v>
      </c>
      <c r="C36" s="53" t="s">
        <v>1506</v>
      </c>
      <c r="D36" s="79">
        <v>1</v>
      </c>
      <c r="E36" s="56">
        <v>20</v>
      </c>
      <c r="F36" s="56">
        <f t="shared" si="4"/>
        <v>20</v>
      </c>
      <c r="G36" s="149">
        <f t="shared" si="9"/>
        <v>3.4000000000000004</v>
      </c>
      <c r="H36" s="85">
        <f t="shared" si="10"/>
        <v>23.4</v>
      </c>
      <c r="I36" s="56">
        <f t="shared" si="2"/>
        <v>23.4</v>
      </c>
      <c r="J36" s="83" t="s">
        <v>1955</v>
      </c>
      <c r="N36" s="66"/>
    </row>
    <row r="37" spans="1:14" s="21" customFormat="1" ht="15.75" x14ac:dyDescent="0.25">
      <c r="A37" s="53">
        <f t="shared" si="3"/>
        <v>22</v>
      </c>
      <c r="B37" s="78" t="s">
        <v>1527</v>
      </c>
      <c r="C37" s="53" t="s">
        <v>23</v>
      </c>
      <c r="D37" s="79">
        <v>1</v>
      </c>
      <c r="E37" s="56">
        <v>28</v>
      </c>
      <c r="F37" s="56">
        <f t="shared" si="4"/>
        <v>28</v>
      </c>
      <c r="G37" s="149">
        <f t="shared" si="9"/>
        <v>4.7600000000000007</v>
      </c>
      <c r="H37" s="85">
        <f t="shared" si="10"/>
        <v>32.76</v>
      </c>
      <c r="I37" s="56">
        <f t="shared" si="2"/>
        <v>32.76</v>
      </c>
      <c r="J37" s="83" t="s">
        <v>1955</v>
      </c>
      <c r="N37" s="66"/>
    </row>
    <row r="38" spans="1:14" s="21" customFormat="1" ht="15.75" x14ac:dyDescent="0.25">
      <c r="A38" s="53">
        <f t="shared" si="3"/>
        <v>23</v>
      </c>
      <c r="B38" s="78" t="s">
        <v>1528</v>
      </c>
      <c r="C38" s="53" t="s">
        <v>23</v>
      </c>
      <c r="D38" s="79">
        <v>1</v>
      </c>
      <c r="E38" s="56">
        <v>100</v>
      </c>
      <c r="F38" s="56">
        <f t="shared" si="4"/>
        <v>100</v>
      </c>
      <c r="G38" s="149">
        <f t="shared" si="9"/>
        <v>17</v>
      </c>
      <c r="H38" s="85">
        <f t="shared" si="10"/>
        <v>117</v>
      </c>
      <c r="I38" s="56">
        <f t="shared" si="2"/>
        <v>117</v>
      </c>
      <c r="J38" s="83" t="s">
        <v>1955</v>
      </c>
      <c r="N38" s="66"/>
    </row>
    <row r="39" spans="1:14" s="21" customFormat="1" ht="15.75" x14ac:dyDescent="0.25">
      <c r="A39" s="53">
        <f t="shared" si="3"/>
        <v>24</v>
      </c>
      <c r="B39" s="78" t="s">
        <v>1529</v>
      </c>
      <c r="C39" s="53" t="s">
        <v>23</v>
      </c>
      <c r="D39" s="79">
        <v>4</v>
      </c>
      <c r="E39" s="56">
        <v>28</v>
      </c>
      <c r="F39" s="56">
        <f t="shared" si="4"/>
        <v>112</v>
      </c>
      <c r="G39" s="150">
        <f>F39*0</f>
        <v>0</v>
      </c>
      <c r="H39" s="85">
        <f t="shared" si="1"/>
        <v>28</v>
      </c>
      <c r="I39" s="56">
        <f t="shared" si="2"/>
        <v>112</v>
      </c>
      <c r="J39" s="83" t="s">
        <v>1955</v>
      </c>
      <c r="N39" s="66"/>
    </row>
    <row r="40" spans="1:14" s="21" customFormat="1" ht="25.5" x14ac:dyDescent="0.25">
      <c r="A40" s="53">
        <f t="shared" si="3"/>
        <v>25</v>
      </c>
      <c r="B40" s="78" t="s">
        <v>1491</v>
      </c>
      <c r="C40" s="53" t="s">
        <v>1506</v>
      </c>
      <c r="D40" s="79">
        <v>1</v>
      </c>
      <c r="E40" s="56">
        <v>105</v>
      </c>
      <c r="F40" s="56">
        <f t="shared" si="4"/>
        <v>105</v>
      </c>
      <c r="G40" s="149">
        <f t="shared" ref="G40:G52" si="11">F40*0.17</f>
        <v>17.850000000000001</v>
      </c>
      <c r="H40" s="85">
        <f t="shared" ref="H40:H52" si="12">E40*1.17</f>
        <v>122.85</v>
      </c>
      <c r="I40" s="56">
        <f t="shared" si="2"/>
        <v>122.85</v>
      </c>
      <c r="J40" s="83" t="s">
        <v>1955</v>
      </c>
      <c r="N40" s="66"/>
    </row>
    <row r="41" spans="1:14" s="21" customFormat="1" ht="25.5" x14ac:dyDescent="0.25">
      <c r="A41" s="53">
        <f t="shared" si="3"/>
        <v>26</v>
      </c>
      <c r="B41" s="78" t="s">
        <v>1492</v>
      </c>
      <c r="C41" s="53" t="s">
        <v>1506</v>
      </c>
      <c r="D41" s="79">
        <v>1</v>
      </c>
      <c r="E41" s="56">
        <v>140</v>
      </c>
      <c r="F41" s="56">
        <f t="shared" si="4"/>
        <v>140</v>
      </c>
      <c r="G41" s="149">
        <f t="shared" si="11"/>
        <v>23.8</v>
      </c>
      <c r="H41" s="85">
        <f t="shared" si="12"/>
        <v>163.79999999999998</v>
      </c>
      <c r="I41" s="56">
        <f t="shared" si="2"/>
        <v>163.79999999999998</v>
      </c>
      <c r="J41" s="83" t="s">
        <v>1955</v>
      </c>
      <c r="N41" s="66"/>
    </row>
    <row r="42" spans="1:14" s="21" customFormat="1" ht="25.5" x14ac:dyDescent="0.25">
      <c r="A42" s="53">
        <f t="shared" si="3"/>
        <v>27</v>
      </c>
      <c r="B42" s="78" t="s">
        <v>1518</v>
      </c>
      <c r="C42" s="53" t="s">
        <v>1505</v>
      </c>
      <c r="D42" s="79">
        <v>2</v>
      </c>
      <c r="E42" s="56">
        <v>25</v>
      </c>
      <c r="F42" s="56">
        <f t="shared" si="4"/>
        <v>50</v>
      </c>
      <c r="G42" s="149">
        <f t="shared" si="11"/>
        <v>8.5</v>
      </c>
      <c r="H42" s="85">
        <f t="shared" si="12"/>
        <v>29.25</v>
      </c>
      <c r="I42" s="56">
        <f t="shared" si="2"/>
        <v>58.5</v>
      </c>
      <c r="J42" s="83" t="s">
        <v>1955</v>
      </c>
      <c r="N42" s="66"/>
    </row>
    <row r="43" spans="1:14" s="21" customFormat="1" ht="15.75" x14ac:dyDescent="0.25">
      <c r="A43" s="53">
        <f t="shared" si="3"/>
        <v>28</v>
      </c>
      <c r="B43" s="78" t="s">
        <v>1495</v>
      </c>
      <c r="C43" s="53" t="s">
        <v>1506</v>
      </c>
      <c r="D43" s="79">
        <v>1</v>
      </c>
      <c r="E43" s="56">
        <v>110</v>
      </c>
      <c r="F43" s="56">
        <f t="shared" si="4"/>
        <v>110</v>
      </c>
      <c r="G43" s="149">
        <f t="shared" si="11"/>
        <v>18.700000000000003</v>
      </c>
      <c r="H43" s="85">
        <f t="shared" si="12"/>
        <v>128.69999999999999</v>
      </c>
      <c r="I43" s="56">
        <f t="shared" si="2"/>
        <v>128.69999999999999</v>
      </c>
      <c r="J43" s="83" t="s">
        <v>1955</v>
      </c>
      <c r="N43" s="66"/>
    </row>
    <row r="44" spans="1:14" s="21" customFormat="1" ht="25.5" x14ac:dyDescent="0.25">
      <c r="A44" s="53">
        <f t="shared" si="3"/>
        <v>29</v>
      </c>
      <c r="B44" s="78" t="s">
        <v>1496</v>
      </c>
      <c r="C44" s="53" t="s">
        <v>1506</v>
      </c>
      <c r="D44" s="79">
        <v>1</v>
      </c>
      <c r="E44" s="56">
        <v>30</v>
      </c>
      <c r="F44" s="56">
        <f t="shared" si="4"/>
        <v>30</v>
      </c>
      <c r="G44" s="149">
        <f t="shared" si="11"/>
        <v>5.1000000000000005</v>
      </c>
      <c r="H44" s="85">
        <f t="shared" si="12"/>
        <v>35.099999999999994</v>
      </c>
      <c r="I44" s="56">
        <f t="shared" si="2"/>
        <v>35.099999999999994</v>
      </c>
      <c r="J44" s="83" t="s">
        <v>1955</v>
      </c>
      <c r="N44" s="66"/>
    </row>
    <row r="45" spans="1:14" s="21" customFormat="1" ht="15.75" x14ac:dyDescent="0.25">
      <c r="A45" s="53">
        <f t="shared" si="3"/>
        <v>30</v>
      </c>
      <c r="B45" s="78" t="s">
        <v>1502</v>
      </c>
      <c r="C45" s="53" t="s">
        <v>1506</v>
      </c>
      <c r="D45" s="79">
        <v>1</v>
      </c>
      <c r="E45" s="56">
        <v>7</v>
      </c>
      <c r="F45" s="56">
        <f t="shared" si="4"/>
        <v>7</v>
      </c>
      <c r="G45" s="149">
        <f t="shared" si="11"/>
        <v>1.1900000000000002</v>
      </c>
      <c r="H45" s="85">
        <f t="shared" si="12"/>
        <v>8.19</v>
      </c>
      <c r="I45" s="56">
        <f t="shared" si="2"/>
        <v>8.19</v>
      </c>
      <c r="J45" s="83" t="s">
        <v>1955</v>
      </c>
      <c r="N45" s="66"/>
    </row>
    <row r="46" spans="1:14" s="21" customFormat="1" ht="15.75" x14ac:dyDescent="0.25">
      <c r="A46" s="53">
        <f t="shared" si="3"/>
        <v>31</v>
      </c>
      <c r="B46" s="78" t="s">
        <v>1948</v>
      </c>
      <c r="C46" s="53" t="s">
        <v>1506</v>
      </c>
      <c r="D46" s="79">
        <v>1</v>
      </c>
      <c r="E46" s="56">
        <v>38</v>
      </c>
      <c r="F46" s="56">
        <f t="shared" si="4"/>
        <v>38</v>
      </c>
      <c r="G46" s="149">
        <f t="shared" si="11"/>
        <v>6.4600000000000009</v>
      </c>
      <c r="H46" s="85">
        <f t="shared" si="12"/>
        <v>44.459999999999994</v>
      </c>
      <c r="I46" s="56">
        <f t="shared" si="2"/>
        <v>44.459999999999994</v>
      </c>
      <c r="J46" s="83" t="s">
        <v>1955</v>
      </c>
      <c r="N46" s="66"/>
    </row>
    <row r="47" spans="1:14" s="21" customFormat="1" ht="15.75" x14ac:dyDescent="0.25">
      <c r="A47" s="53">
        <f t="shared" si="3"/>
        <v>32</v>
      </c>
      <c r="B47" s="78" t="s">
        <v>1536</v>
      </c>
      <c r="C47" s="53" t="s">
        <v>1506</v>
      </c>
      <c r="D47" s="79">
        <v>1</v>
      </c>
      <c r="E47" s="56">
        <v>25</v>
      </c>
      <c r="F47" s="56">
        <f t="shared" si="4"/>
        <v>25</v>
      </c>
      <c r="G47" s="149">
        <f t="shared" si="11"/>
        <v>4.25</v>
      </c>
      <c r="H47" s="85">
        <f t="shared" si="12"/>
        <v>29.25</v>
      </c>
      <c r="I47" s="56">
        <f t="shared" si="2"/>
        <v>29.25</v>
      </c>
      <c r="J47" s="83" t="s">
        <v>1955</v>
      </c>
      <c r="N47" s="66"/>
    </row>
    <row r="48" spans="1:14" s="21" customFormat="1" ht="15.75" x14ac:dyDescent="0.25">
      <c r="A48" s="53">
        <f t="shared" si="3"/>
        <v>33</v>
      </c>
      <c r="B48" s="78" t="s">
        <v>1498</v>
      </c>
      <c r="C48" s="53" t="s">
        <v>1506</v>
      </c>
      <c r="D48" s="79">
        <v>1</v>
      </c>
      <c r="E48" s="56">
        <v>175</v>
      </c>
      <c r="F48" s="56">
        <f t="shared" si="4"/>
        <v>175</v>
      </c>
      <c r="G48" s="149">
        <f t="shared" si="11"/>
        <v>29.750000000000004</v>
      </c>
      <c r="H48" s="85">
        <f t="shared" si="12"/>
        <v>204.75</v>
      </c>
      <c r="I48" s="56">
        <f t="shared" si="2"/>
        <v>204.75</v>
      </c>
      <c r="J48" s="83" t="s">
        <v>1955</v>
      </c>
      <c r="N48" s="66"/>
    </row>
    <row r="49" spans="1:14" s="21" customFormat="1" ht="15.75" x14ac:dyDescent="0.25">
      <c r="A49" s="53">
        <f t="shared" si="3"/>
        <v>34</v>
      </c>
      <c r="B49" s="78" t="s">
        <v>1503</v>
      </c>
      <c r="C49" s="53" t="s">
        <v>1506</v>
      </c>
      <c r="D49" s="79">
        <v>1</v>
      </c>
      <c r="E49" s="56">
        <v>26</v>
      </c>
      <c r="F49" s="56">
        <f t="shared" si="4"/>
        <v>26</v>
      </c>
      <c r="G49" s="149">
        <f t="shared" si="11"/>
        <v>4.42</v>
      </c>
      <c r="H49" s="85">
        <f t="shared" si="12"/>
        <v>30.419999999999998</v>
      </c>
      <c r="I49" s="56">
        <f t="shared" si="2"/>
        <v>30.419999999999998</v>
      </c>
      <c r="J49" s="83" t="s">
        <v>1955</v>
      </c>
      <c r="N49" s="66"/>
    </row>
    <row r="50" spans="1:14" s="21" customFormat="1" ht="15.75" x14ac:dyDescent="0.25">
      <c r="A50" s="53">
        <f t="shared" si="3"/>
        <v>35</v>
      </c>
      <c r="B50" s="78" t="s">
        <v>1504</v>
      </c>
      <c r="C50" s="53" t="s">
        <v>1506</v>
      </c>
      <c r="D50" s="79">
        <v>4</v>
      </c>
      <c r="E50" s="56">
        <v>20</v>
      </c>
      <c r="F50" s="56">
        <f t="shared" si="4"/>
        <v>80</v>
      </c>
      <c r="G50" s="149">
        <f t="shared" si="11"/>
        <v>13.600000000000001</v>
      </c>
      <c r="H50" s="85">
        <f t="shared" si="12"/>
        <v>23.4</v>
      </c>
      <c r="I50" s="56">
        <f t="shared" si="2"/>
        <v>93.6</v>
      </c>
      <c r="J50" s="83" t="s">
        <v>1955</v>
      </c>
      <c r="N50" s="66"/>
    </row>
    <row r="51" spans="1:14" s="21" customFormat="1" ht="25.5" x14ac:dyDescent="0.25">
      <c r="A51" s="53">
        <f t="shared" si="3"/>
        <v>36</v>
      </c>
      <c r="B51" s="78" t="s">
        <v>1539</v>
      </c>
      <c r="C51" s="53" t="s">
        <v>1506</v>
      </c>
      <c r="D51" s="79">
        <v>1</v>
      </c>
      <c r="E51" s="56">
        <v>125</v>
      </c>
      <c r="F51" s="56">
        <f t="shared" si="4"/>
        <v>125</v>
      </c>
      <c r="G51" s="149">
        <f t="shared" si="11"/>
        <v>21.25</v>
      </c>
      <c r="H51" s="85">
        <f t="shared" si="12"/>
        <v>146.25</v>
      </c>
      <c r="I51" s="56">
        <f t="shared" si="2"/>
        <v>146.25</v>
      </c>
      <c r="J51" s="83" t="s">
        <v>1955</v>
      </c>
      <c r="N51" s="66"/>
    </row>
    <row r="52" spans="1:14" s="21" customFormat="1" ht="15.75" x14ac:dyDescent="0.25">
      <c r="A52" s="53">
        <f t="shared" si="3"/>
        <v>37</v>
      </c>
      <c r="B52" s="78" t="s">
        <v>1486</v>
      </c>
      <c r="C52" s="53" t="s">
        <v>1506</v>
      </c>
      <c r="D52" s="79">
        <v>1</v>
      </c>
      <c r="E52" s="56">
        <v>90</v>
      </c>
      <c r="F52" s="56">
        <f t="shared" si="4"/>
        <v>90</v>
      </c>
      <c r="G52" s="149">
        <f t="shared" si="11"/>
        <v>15.3</v>
      </c>
      <c r="H52" s="85">
        <f t="shared" si="12"/>
        <v>105.3</v>
      </c>
      <c r="I52" s="56">
        <f t="shared" si="2"/>
        <v>105.3</v>
      </c>
      <c r="J52" s="83" t="s">
        <v>1956</v>
      </c>
      <c r="N52" s="66"/>
    </row>
    <row r="53" spans="1:14" s="21" customFormat="1" ht="25.5" x14ac:dyDescent="0.25">
      <c r="A53" s="53">
        <f t="shared" si="3"/>
        <v>38</v>
      </c>
      <c r="B53" s="78" t="s">
        <v>1488</v>
      </c>
      <c r="C53" s="53" t="s">
        <v>1505</v>
      </c>
      <c r="D53" s="79">
        <v>2</v>
      </c>
      <c r="E53" s="56">
        <v>300</v>
      </c>
      <c r="F53" s="56">
        <f t="shared" si="4"/>
        <v>600</v>
      </c>
      <c r="G53" s="150">
        <f>F53*0</f>
        <v>0</v>
      </c>
      <c r="H53" s="85">
        <f t="shared" si="1"/>
        <v>300</v>
      </c>
      <c r="I53" s="56">
        <f t="shared" si="2"/>
        <v>600</v>
      </c>
      <c r="J53" s="83" t="s">
        <v>1956</v>
      </c>
      <c r="N53" s="66"/>
    </row>
    <row r="54" spans="1:14" s="21" customFormat="1" ht="25.5" x14ac:dyDescent="0.25">
      <c r="A54" s="53">
        <f t="shared" si="3"/>
        <v>39</v>
      </c>
      <c r="B54" s="78" t="s">
        <v>1491</v>
      </c>
      <c r="C54" s="53" t="s">
        <v>1506</v>
      </c>
      <c r="D54" s="79">
        <v>2</v>
      </c>
      <c r="E54" s="56">
        <v>105</v>
      </c>
      <c r="F54" s="56">
        <f t="shared" si="4"/>
        <v>210</v>
      </c>
      <c r="G54" s="149">
        <f t="shared" ref="G54:G57" si="13">F54*0.17</f>
        <v>35.700000000000003</v>
      </c>
      <c r="H54" s="85">
        <f t="shared" ref="H54:H57" si="14">E54*1.17</f>
        <v>122.85</v>
      </c>
      <c r="I54" s="56">
        <f t="shared" si="2"/>
        <v>245.7</v>
      </c>
      <c r="J54" s="83" t="s">
        <v>1956</v>
      </c>
      <c r="N54" s="66"/>
    </row>
    <row r="55" spans="1:14" s="21" customFormat="1" ht="15.75" x14ac:dyDescent="0.25">
      <c r="A55" s="53">
        <f t="shared" si="3"/>
        <v>40</v>
      </c>
      <c r="B55" s="78" t="s">
        <v>1536</v>
      </c>
      <c r="C55" s="53" t="s">
        <v>1506</v>
      </c>
      <c r="D55" s="79">
        <v>2</v>
      </c>
      <c r="E55" s="56">
        <v>25</v>
      </c>
      <c r="F55" s="56">
        <f t="shared" si="4"/>
        <v>50</v>
      </c>
      <c r="G55" s="149">
        <f t="shared" si="13"/>
        <v>8.5</v>
      </c>
      <c r="H55" s="85">
        <f t="shared" si="14"/>
        <v>29.25</v>
      </c>
      <c r="I55" s="56">
        <f t="shared" si="2"/>
        <v>58.5</v>
      </c>
      <c r="J55" s="83" t="s">
        <v>1956</v>
      </c>
      <c r="N55" s="66"/>
    </row>
    <row r="56" spans="1:14" s="21" customFormat="1" ht="15.75" x14ac:dyDescent="0.25">
      <c r="A56" s="53">
        <f t="shared" si="3"/>
        <v>41</v>
      </c>
      <c r="B56" s="78" t="s">
        <v>1486</v>
      </c>
      <c r="C56" s="53" t="s">
        <v>1506</v>
      </c>
      <c r="D56" s="79">
        <v>3</v>
      </c>
      <c r="E56" s="56">
        <v>90</v>
      </c>
      <c r="F56" s="56">
        <f t="shared" si="4"/>
        <v>270</v>
      </c>
      <c r="G56" s="149">
        <f t="shared" si="13"/>
        <v>45.900000000000006</v>
      </c>
      <c r="H56" s="85">
        <f t="shared" si="14"/>
        <v>105.3</v>
      </c>
      <c r="I56" s="56">
        <f t="shared" si="2"/>
        <v>315.89999999999998</v>
      </c>
      <c r="J56" s="83" t="s">
        <v>1957</v>
      </c>
      <c r="N56" s="66"/>
    </row>
    <row r="57" spans="1:14" s="21" customFormat="1" ht="15.75" x14ac:dyDescent="0.25">
      <c r="A57" s="53">
        <f t="shared" si="3"/>
        <v>42</v>
      </c>
      <c r="B57" s="78" t="s">
        <v>1487</v>
      </c>
      <c r="C57" s="53" t="s">
        <v>1506</v>
      </c>
      <c r="D57" s="79">
        <v>1</v>
      </c>
      <c r="E57" s="56">
        <v>155</v>
      </c>
      <c r="F57" s="56">
        <f t="shared" si="4"/>
        <v>155</v>
      </c>
      <c r="G57" s="149">
        <f t="shared" si="13"/>
        <v>26.35</v>
      </c>
      <c r="H57" s="85">
        <f t="shared" si="14"/>
        <v>181.35</v>
      </c>
      <c r="I57" s="56">
        <f t="shared" si="2"/>
        <v>181.35</v>
      </c>
      <c r="J57" s="83" t="s">
        <v>1957</v>
      </c>
      <c r="N57" s="66"/>
    </row>
    <row r="58" spans="1:14" s="21" customFormat="1" ht="25.5" x14ac:dyDescent="0.25">
      <c r="A58" s="53">
        <f t="shared" si="3"/>
        <v>43</v>
      </c>
      <c r="B58" s="78" t="s">
        <v>1488</v>
      </c>
      <c r="C58" s="53" t="s">
        <v>1505</v>
      </c>
      <c r="D58" s="79">
        <v>1</v>
      </c>
      <c r="E58" s="56">
        <v>300</v>
      </c>
      <c r="F58" s="56">
        <f t="shared" si="4"/>
        <v>300</v>
      </c>
      <c r="G58" s="150">
        <f t="shared" ref="G58:G62" si="15">F58*0</f>
        <v>0</v>
      </c>
      <c r="H58" s="85">
        <f t="shared" si="1"/>
        <v>300</v>
      </c>
      <c r="I58" s="56">
        <f t="shared" si="2"/>
        <v>300</v>
      </c>
      <c r="J58" s="83" t="s">
        <v>1957</v>
      </c>
      <c r="N58" s="66"/>
    </row>
    <row r="59" spans="1:14" s="21" customFormat="1" ht="25.5" x14ac:dyDescent="0.25">
      <c r="A59" s="53">
        <f t="shared" si="3"/>
        <v>44</v>
      </c>
      <c r="B59" s="78" t="s">
        <v>1520</v>
      </c>
      <c r="C59" s="53" t="s">
        <v>1505</v>
      </c>
      <c r="D59" s="79">
        <v>1</v>
      </c>
      <c r="E59" s="56">
        <v>300</v>
      </c>
      <c r="F59" s="56">
        <f t="shared" si="4"/>
        <v>300</v>
      </c>
      <c r="G59" s="150">
        <f t="shared" si="15"/>
        <v>0</v>
      </c>
      <c r="H59" s="85">
        <f t="shared" si="1"/>
        <v>300</v>
      </c>
      <c r="I59" s="56">
        <f t="shared" si="2"/>
        <v>300</v>
      </c>
      <c r="J59" s="83" t="s">
        <v>1957</v>
      </c>
      <c r="N59" s="66"/>
    </row>
    <row r="60" spans="1:14" s="21" customFormat="1" ht="25.5" x14ac:dyDescent="0.25">
      <c r="A60" s="53">
        <f t="shared" si="3"/>
        <v>45</v>
      </c>
      <c r="B60" s="78" t="s">
        <v>1521</v>
      </c>
      <c r="C60" s="53" t="s">
        <v>1505</v>
      </c>
      <c r="D60" s="79">
        <v>1</v>
      </c>
      <c r="E60" s="56">
        <v>300</v>
      </c>
      <c r="F60" s="56">
        <f t="shared" si="4"/>
        <v>300</v>
      </c>
      <c r="G60" s="150">
        <f t="shared" si="15"/>
        <v>0</v>
      </c>
      <c r="H60" s="85">
        <f t="shared" si="1"/>
        <v>300</v>
      </c>
      <c r="I60" s="56">
        <f t="shared" si="2"/>
        <v>300</v>
      </c>
      <c r="J60" s="83" t="s">
        <v>1957</v>
      </c>
      <c r="N60" s="66"/>
    </row>
    <row r="61" spans="1:14" s="21" customFormat="1" ht="25.5" x14ac:dyDescent="0.25">
      <c r="A61" s="53">
        <f t="shared" si="3"/>
        <v>46</v>
      </c>
      <c r="B61" s="78" t="s">
        <v>1513</v>
      </c>
      <c r="C61" s="53" t="s">
        <v>1505</v>
      </c>
      <c r="D61" s="79">
        <v>2</v>
      </c>
      <c r="E61" s="56">
        <v>75</v>
      </c>
      <c r="F61" s="56">
        <f t="shared" si="4"/>
        <v>150</v>
      </c>
      <c r="G61" s="150">
        <f t="shared" si="15"/>
        <v>0</v>
      </c>
      <c r="H61" s="85">
        <f t="shared" si="1"/>
        <v>75</v>
      </c>
      <c r="I61" s="56">
        <f t="shared" si="2"/>
        <v>150</v>
      </c>
      <c r="J61" s="83" t="s">
        <v>1957</v>
      </c>
      <c r="N61" s="66"/>
    </row>
    <row r="62" spans="1:14" s="21" customFormat="1" ht="15.75" x14ac:dyDescent="0.25">
      <c r="A62" s="53">
        <f t="shared" si="3"/>
        <v>47</v>
      </c>
      <c r="B62" s="78" t="s">
        <v>1529</v>
      </c>
      <c r="C62" s="53" t="s">
        <v>23</v>
      </c>
      <c r="D62" s="79">
        <v>2</v>
      </c>
      <c r="E62" s="56">
        <v>28</v>
      </c>
      <c r="F62" s="56">
        <f t="shared" si="4"/>
        <v>56</v>
      </c>
      <c r="G62" s="150">
        <f t="shared" si="15"/>
        <v>0</v>
      </c>
      <c r="H62" s="85">
        <f t="shared" si="1"/>
        <v>28</v>
      </c>
      <c r="I62" s="56">
        <f t="shared" si="2"/>
        <v>56</v>
      </c>
      <c r="J62" s="83" t="s">
        <v>1957</v>
      </c>
      <c r="N62" s="66"/>
    </row>
    <row r="63" spans="1:14" s="21" customFormat="1" ht="15.75" x14ac:dyDescent="0.25">
      <c r="A63" s="53">
        <f t="shared" si="3"/>
        <v>48</v>
      </c>
      <c r="B63" s="78" t="s">
        <v>1493</v>
      </c>
      <c r="C63" s="53" t="s">
        <v>1506</v>
      </c>
      <c r="D63" s="79">
        <v>1</v>
      </c>
      <c r="E63" s="56">
        <v>180</v>
      </c>
      <c r="F63" s="56">
        <f t="shared" si="4"/>
        <v>180</v>
      </c>
      <c r="G63" s="149">
        <f t="shared" ref="G63:G70" si="16">F63*0.17</f>
        <v>30.6</v>
      </c>
      <c r="H63" s="85">
        <f t="shared" ref="H63:H70" si="17">E63*1.17</f>
        <v>210.6</v>
      </c>
      <c r="I63" s="56">
        <f t="shared" si="2"/>
        <v>210.6</v>
      </c>
      <c r="J63" s="83" t="s">
        <v>1957</v>
      </c>
      <c r="N63" s="66"/>
    </row>
    <row r="64" spans="1:14" s="21" customFormat="1" ht="15.75" x14ac:dyDescent="0.25">
      <c r="A64" s="53">
        <f t="shared" si="3"/>
        <v>49</v>
      </c>
      <c r="B64" s="78" t="s">
        <v>1494</v>
      </c>
      <c r="C64" s="53" t="s">
        <v>1506</v>
      </c>
      <c r="D64" s="79">
        <v>1</v>
      </c>
      <c r="E64" s="56">
        <v>25</v>
      </c>
      <c r="F64" s="56">
        <f t="shared" si="4"/>
        <v>25</v>
      </c>
      <c r="G64" s="149">
        <f t="shared" si="16"/>
        <v>4.25</v>
      </c>
      <c r="H64" s="85">
        <f t="shared" si="17"/>
        <v>29.25</v>
      </c>
      <c r="I64" s="56">
        <f t="shared" si="2"/>
        <v>29.25</v>
      </c>
      <c r="J64" s="83" t="s">
        <v>1957</v>
      </c>
      <c r="N64" s="66"/>
    </row>
    <row r="65" spans="1:14" s="21" customFormat="1" ht="15.75" x14ac:dyDescent="0.25">
      <c r="A65" s="53">
        <f t="shared" si="3"/>
        <v>50</v>
      </c>
      <c r="B65" s="78" t="s">
        <v>1495</v>
      </c>
      <c r="C65" s="53" t="s">
        <v>1506</v>
      </c>
      <c r="D65" s="79">
        <v>1</v>
      </c>
      <c r="E65" s="56">
        <v>110</v>
      </c>
      <c r="F65" s="56">
        <f t="shared" si="4"/>
        <v>110</v>
      </c>
      <c r="G65" s="149">
        <f t="shared" si="16"/>
        <v>18.700000000000003</v>
      </c>
      <c r="H65" s="85">
        <f t="shared" si="17"/>
        <v>128.69999999999999</v>
      </c>
      <c r="I65" s="56">
        <f t="shared" si="2"/>
        <v>128.69999999999999</v>
      </c>
      <c r="J65" s="83" t="s">
        <v>1957</v>
      </c>
      <c r="N65" s="66"/>
    </row>
    <row r="66" spans="1:14" s="21" customFormat="1" ht="25.5" x14ac:dyDescent="0.25">
      <c r="A66" s="53">
        <f t="shared" si="3"/>
        <v>51</v>
      </c>
      <c r="B66" s="78" t="s">
        <v>1496</v>
      </c>
      <c r="C66" s="53" t="s">
        <v>1506</v>
      </c>
      <c r="D66" s="79">
        <v>1</v>
      </c>
      <c r="E66" s="56">
        <v>30</v>
      </c>
      <c r="F66" s="56">
        <f t="shared" si="4"/>
        <v>30</v>
      </c>
      <c r="G66" s="149">
        <f t="shared" si="16"/>
        <v>5.1000000000000005</v>
      </c>
      <c r="H66" s="85">
        <f t="shared" si="17"/>
        <v>35.099999999999994</v>
      </c>
      <c r="I66" s="56">
        <f t="shared" si="2"/>
        <v>35.099999999999994</v>
      </c>
      <c r="J66" s="83" t="s">
        <v>1957</v>
      </c>
      <c r="N66" s="66"/>
    </row>
    <row r="67" spans="1:14" s="21" customFormat="1" ht="15.75" x14ac:dyDescent="0.25">
      <c r="A67" s="53">
        <f t="shared" si="3"/>
        <v>52</v>
      </c>
      <c r="B67" s="78" t="s">
        <v>1497</v>
      </c>
      <c r="C67" s="53" t="s">
        <v>1506</v>
      </c>
      <c r="D67" s="79">
        <v>1</v>
      </c>
      <c r="E67" s="56">
        <v>28</v>
      </c>
      <c r="F67" s="56">
        <f t="shared" si="4"/>
        <v>28</v>
      </c>
      <c r="G67" s="149">
        <f t="shared" si="16"/>
        <v>4.7600000000000007</v>
      </c>
      <c r="H67" s="85">
        <f t="shared" si="17"/>
        <v>32.76</v>
      </c>
      <c r="I67" s="56">
        <f t="shared" si="2"/>
        <v>32.76</v>
      </c>
      <c r="J67" s="83" t="s">
        <v>1957</v>
      </c>
      <c r="N67" s="66"/>
    </row>
    <row r="68" spans="1:14" s="21" customFormat="1" ht="15.75" x14ac:dyDescent="0.25">
      <c r="A68" s="53">
        <f t="shared" si="3"/>
        <v>53</v>
      </c>
      <c r="B68" s="78" t="s">
        <v>1498</v>
      </c>
      <c r="C68" s="53" t="s">
        <v>1506</v>
      </c>
      <c r="D68" s="79">
        <v>1</v>
      </c>
      <c r="E68" s="56">
        <v>175</v>
      </c>
      <c r="F68" s="56">
        <f t="shared" si="4"/>
        <v>175</v>
      </c>
      <c r="G68" s="149">
        <f t="shared" si="16"/>
        <v>29.750000000000004</v>
      </c>
      <c r="H68" s="85">
        <f t="shared" si="17"/>
        <v>204.75</v>
      </c>
      <c r="I68" s="56">
        <f t="shared" si="2"/>
        <v>204.75</v>
      </c>
      <c r="J68" s="83" t="s">
        <v>1957</v>
      </c>
      <c r="N68" s="66"/>
    </row>
    <row r="69" spans="1:14" s="21" customFormat="1" ht="25.5" x14ac:dyDescent="0.25">
      <c r="A69" s="53">
        <f t="shared" si="3"/>
        <v>54</v>
      </c>
      <c r="B69" s="78" t="s">
        <v>1517</v>
      </c>
      <c r="C69" s="53" t="s">
        <v>1506</v>
      </c>
      <c r="D69" s="79">
        <v>1</v>
      </c>
      <c r="E69" s="56">
        <v>250</v>
      </c>
      <c r="F69" s="56">
        <f t="shared" si="4"/>
        <v>250</v>
      </c>
      <c r="G69" s="149">
        <f t="shared" si="16"/>
        <v>42.5</v>
      </c>
      <c r="H69" s="85">
        <f t="shared" si="17"/>
        <v>292.5</v>
      </c>
      <c r="I69" s="56">
        <f t="shared" si="2"/>
        <v>292.5</v>
      </c>
      <c r="J69" s="83" t="s">
        <v>1958</v>
      </c>
      <c r="N69" s="66"/>
    </row>
    <row r="70" spans="1:14" s="21" customFormat="1" ht="15.75" x14ac:dyDescent="0.25">
      <c r="A70" s="53">
        <f t="shared" si="3"/>
        <v>55</v>
      </c>
      <c r="B70" s="78" t="s">
        <v>1547</v>
      </c>
      <c r="C70" s="53" t="s">
        <v>1506</v>
      </c>
      <c r="D70" s="79">
        <v>1</v>
      </c>
      <c r="E70" s="56">
        <v>155</v>
      </c>
      <c r="F70" s="56">
        <f t="shared" si="4"/>
        <v>155</v>
      </c>
      <c r="G70" s="149">
        <f t="shared" si="16"/>
        <v>26.35</v>
      </c>
      <c r="H70" s="85">
        <f t="shared" si="17"/>
        <v>181.35</v>
      </c>
      <c r="I70" s="56">
        <f t="shared" si="2"/>
        <v>181.35</v>
      </c>
      <c r="J70" s="83" t="s">
        <v>1958</v>
      </c>
      <c r="N70" s="66"/>
    </row>
    <row r="71" spans="1:14" s="21" customFormat="1" ht="25.5" x14ac:dyDescent="0.25">
      <c r="A71" s="53">
        <f t="shared" si="3"/>
        <v>56</v>
      </c>
      <c r="B71" s="78" t="s">
        <v>1488</v>
      </c>
      <c r="C71" s="53" t="s">
        <v>1505</v>
      </c>
      <c r="D71" s="79">
        <v>2</v>
      </c>
      <c r="E71" s="56">
        <v>300</v>
      </c>
      <c r="F71" s="56">
        <f t="shared" si="4"/>
        <v>600</v>
      </c>
      <c r="G71" s="150">
        <f t="shared" ref="G71:G73" si="18">F71*0</f>
        <v>0</v>
      </c>
      <c r="H71" s="85">
        <f t="shared" si="1"/>
        <v>300</v>
      </c>
      <c r="I71" s="56">
        <f t="shared" si="2"/>
        <v>600</v>
      </c>
      <c r="J71" s="83" t="s">
        <v>1958</v>
      </c>
      <c r="N71" s="66"/>
    </row>
    <row r="72" spans="1:14" s="21" customFormat="1" ht="25.5" x14ac:dyDescent="0.25">
      <c r="A72" s="53">
        <f t="shared" si="3"/>
        <v>57</v>
      </c>
      <c r="B72" s="78" t="s">
        <v>1522</v>
      </c>
      <c r="C72" s="53" t="s">
        <v>1505</v>
      </c>
      <c r="D72" s="79">
        <v>1</v>
      </c>
      <c r="E72" s="56">
        <v>300</v>
      </c>
      <c r="F72" s="56">
        <f t="shared" si="4"/>
        <v>300</v>
      </c>
      <c r="G72" s="150">
        <f t="shared" si="18"/>
        <v>0</v>
      </c>
      <c r="H72" s="85">
        <f t="shared" si="1"/>
        <v>300</v>
      </c>
      <c r="I72" s="56">
        <f t="shared" si="2"/>
        <v>300</v>
      </c>
      <c r="J72" s="83" t="s">
        <v>1958</v>
      </c>
      <c r="N72" s="66"/>
    </row>
    <row r="73" spans="1:14" s="21" customFormat="1" ht="15.75" x14ac:dyDescent="0.25">
      <c r="A73" s="53">
        <f t="shared" si="3"/>
        <v>58</v>
      </c>
      <c r="B73" s="78" t="s">
        <v>1529</v>
      </c>
      <c r="C73" s="53" t="s">
        <v>23</v>
      </c>
      <c r="D73" s="79">
        <v>1</v>
      </c>
      <c r="E73" s="56">
        <v>28</v>
      </c>
      <c r="F73" s="56">
        <f t="shared" si="4"/>
        <v>28</v>
      </c>
      <c r="G73" s="150">
        <f t="shared" si="18"/>
        <v>0</v>
      </c>
      <c r="H73" s="85">
        <f t="shared" si="1"/>
        <v>28</v>
      </c>
      <c r="I73" s="56">
        <f t="shared" si="2"/>
        <v>28</v>
      </c>
      <c r="J73" s="83" t="s">
        <v>1958</v>
      </c>
      <c r="N73" s="66"/>
    </row>
    <row r="74" spans="1:14" s="21" customFormat="1" ht="25.5" x14ac:dyDescent="0.25">
      <c r="A74" s="53">
        <f t="shared" si="3"/>
        <v>59</v>
      </c>
      <c r="B74" s="78" t="s">
        <v>1491</v>
      </c>
      <c r="C74" s="53" t="s">
        <v>1506</v>
      </c>
      <c r="D74" s="79">
        <v>1</v>
      </c>
      <c r="E74" s="56">
        <v>105</v>
      </c>
      <c r="F74" s="56">
        <f t="shared" si="4"/>
        <v>105</v>
      </c>
      <c r="G74" s="149">
        <f t="shared" ref="G74:G81" si="19">F74*0.17</f>
        <v>17.850000000000001</v>
      </c>
      <c r="H74" s="85">
        <f t="shared" ref="H74:H81" si="20">E74*1.17</f>
        <v>122.85</v>
      </c>
      <c r="I74" s="56">
        <f t="shared" si="2"/>
        <v>122.85</v>
      </c>
      <c r="J74" s="83" t="s">
        <v>1958</v>
      </c>
      <c r="N74" s="66"/>
    </row>
    <row r="75" spans="1:14" s="21" customFormat="1" ht="25.5" x14ac:dyDescent="0.25">
      <c r="A75" s="53">
        <f t="shared" si="3"/>
        <v>60</v>
      </c>
      <c r="B75" s="78" t="s">
        <v>1492</v>
      </c>
      <c r="C75" s="53" t="s">
        <v>1506</v>
      </c>
      <c r="D75" s="79">
        <v>2</v>
      </c>
      <c r="E75" s="56">
        <v>140</v>
      </c>
      <c r="F75" s="56">
        <f t="shared" si="4"/>
        <v>280</v>
      </c>
      <c r="G75" s="149">
        <f t="shared" si="19"/>
        <v>47.6</v>
      </c>
      <c r="H75" s="85">
        <f t="shared" si="20"/>
        <v>163.79999999999998</v>
      </c>
      <c r="I75" s="56">
        <f t="shared" si="2"/>
        <v>327.59999999999997</v>
      </c>
      <c r="J75" s="83" t="s">
        <v>1958</v>
      </c>
      <c r="N75" s="66"/>
    </row>
    <row r="76" spans="1:14" s="21" customFormat="1" ht="25.5" x14ac:dyDescent="0.25">
      <c r="A76" s="53">
        <f t="shared" si="3"/>
        <v>61</v>
      </c>
      <c r="B76" s="78" t="s">
        <v>1518</v>
      </c>
      <c r="C76" s="53" t="s">
        <v>1505</v>
      </c>
      <c r="D76" s="79">
        <v>1</v>
      </c>
      <c r="E76" s="56">
        <v>25</v>
      </c>
      <c r="F76" s="56">
        <f t="shared" si="4"/>
        <v>25</v>
      </c>
      <c r="G76" s="149">
        <f t="shared" si="19"/>
        <v>4.25</v>
      </c>
      <c r="H76" s="85">
        <f t="shared" si="20"/>
        <v>29.25</v>
      </c>
      <c r="I76" s="56">
        <f t="shared" si="2"/>
        <v>29.25</v>
      </c>
      <c r="J76" s="83" t="s">
        <v>1958</v>
      </c>
      <c r="N76" s="66"/>
    </row>
    <row r="77" spans="1:14" s="21" customFormat="1" ht="15.75" x14ac:dyDescent="0.25">
      <c r="A77" s="53">
        <f t="shared" si="3"/>
        <v>62</v>
      </c>
      <c r="B77" s="78" t="s">
        <v>1495</v>
      </c>
      <c r="C77" s="53" t="s">
        <v>1506</v>
      </c>
      <c r="D77" s="79">
        <v>1</v>
      </c>
      <c r="E77" s="56">
        <v>110</v>
      </c>
      <c r="F77" s="56">
        <f t="shared" si="4"/>
        <v>110</v>
      </c>
      <c r="G77" s="149">
        <f t="shared" si="19"/>
        <v>18.700000000000003</v>
      </c>
      <c r="H77" s="85">
        <f t="shared" si="20"/>
        <v>128.69999999999999</v>
      </c>
      <c r="I77" s="56">
        <f t="shared" si="2"/>
        <v>128.69999999999999</v>
      </c>
      <c r="J77" s="83" t="s">
        <v>1958</v>
      </c>
      <c r="N77" s="66"/>
    </row>
    <row r="78" spans="1:14" s="21" customFormat="1" ht="15.75" x14ac:dyDescent="0.25">
      <c r="A78" s="53">
        <f t="shared" si="3"/>
        <v>63</v>
      </c>
      <c r="B78" s="78" t="s">
        <v>1502</v>
      </c>
      <c r="C78" s="53" t="s">
        <v>1506</v>
      </c>
      <c r="D78" s="79">
        <v>1</v>
      </c>
      <c r="E78" s="56">
        <v>7</v>
      </c>
      <c r="F78" s="56">
        <f t="shared" si="4"/>
        <v>7</v>
      </c>
      <c r="G78" s="149">
        <f t="shared" si="19"/>
        <v>1.1900000000000002</v>
      </c>
      <c r="H78" s="85">
        <f t="shared" si="20"/>
        <v>8.19</v>
      </c>
      <c r="I78" s="56">
        <f t="shared" si="2"/>
        <v>8.19</v>
      </c>
      <c r="J78" s="83" t="s">
        <v>1958</v>
      </c>
      <c r="N78" s="66"/>
    </row>
    <row r="79" spans="1:14" s="21" customFormat="1" ht="15.75" x14ac:dyDescent="0.25">
      <c r="A79" s="53">
        <f t="shared" si="3"/>
        <v>64</v>
      </c>
      <c r="B79" s="78" t="s">
        <v>1536</v>
      </c>
      <c r="C79" s="53" t="s">
        <v>1506</v>
      </c>
      <c r="D79" s="79">
        <v>1</v>
      </c>
      <c r="E79" s="56">
        <v>25</v>
      </c>
      <c r="F79" s="56">
        <f t="shared" si="4"/>
        <v>25</v>
      </c>
      <c r="G79" s="149">
        <f t="shared" si="19"/>
        <v>4.25</v>
      </c>
      <c r="H79" s="85">
        <f t="shared" si="20"/>
        <v>29.25</v>
      </c>
      <c r="I79" s="56">
        <f t="shared" si="2"/>
        <v>29.25</v>
      </c>
      <c r="J79" s="83" t="s">
        <v>1958</v>
      </c>
      <c r="N79" s="66"/>
    </row>
    <row r="80" spans="1:14" s="21" customFormat="1" ht="15.75" x14ac:dyDescent="0.25">
      <c r="A80" s="53">
        <f t="shared" si="3"/>
        <v>65</v>
      </c>
      <c r="B80" s="78" t="s">
        <v>1503</v>
      </c>
      <c r="C80" s="53" t="s">
        <v>1506</v>
      </c>
      <c r="D80" s="79">
        <v>1</v>
      </c>
      <c r="E80" s="56">
        <v>26</v>
      </c>
      <c r="F80" s="56">
        <f t="shared" si="4"/>
        <v>26</v>
      </c>
      <c r="G80" s="149">
        <f t="shared" si="19"/>
        <v>4.42</v>
      </c>
      <c r="H80" s="85">
        <f t="shared" si="20"/>
        <v>30.419999999999998</v>
      </c>
      <c r="I80" s="56">
        <f t="shared" si="2"/>
        <v>30.419999999999998</v>
      </c>
      <c r="J80" s="83" t="s">
        <v>1958</v>
      </c>
      <c r="N80" s="66"/>
    </row>
    <row r="81" spans="1:14" s="21" customFormat="1" ht="25.5" x14ac:dyDescent="0.25">
      <c r="A81" s="53">
        <f t="shared" si="3"/>
        <v>66</v>
      </c>
      <c r="B81" s="78" t="s">
        <v>1539</v>
      </c>
      <c r="C81" s="53" t="s">
        <v>1506</v>
      </c>
      <c r="D81" s="79">
        <v>1</v>
      </c>
      <c r="E81" s="56">
        <v>125</v>
      </c>
      <c r="F81" s="56">
        <f t="shared" ref="F81:F110" si="21">D81*E81</f>
        <v>125</v>
      </c>
      <c r="G81" s="149">
        <f t="shared" si="19"/>
        <v>21.25</v>
      </c>
      <c r="H81" s="85">
        <f t="shared" si="20"/>
        <v>146.25</v>
      </c>
      <c r="I81" s="56">
        <f t="shared" ref="I81:I110" si="22">H81*D81</f>
        <v>146.25</v>
      </c>
      <c r="J81" s="83" t="s">
        <v>1958</v>
      </c>
      <c r="N81" s="66"/>
    </row>
    <row r="82" spans="1:14" s="21" customFormat="1" ht="15.75" x14ac:dyDescent="0.25">
      <c r="A82" s="53">
        <f t="shared" ref="A82:A110" si="23">A81+1</f>
        <v>67</v>
      </c>
      <c r="B82" s="78" t="s">
        <v>1949</v>
      </c>
      <c r="C82" s="53" t="s">
        <v>76</v>
      </c>
      <c r="D82" s="79">
        <v>2</v>
      </c>
      <c r="E82" s="56">
        <v>75</v>
      </c>
      <c r="F82" s="56">
        <f t="shared" si="21"/>
        <v>150</v>
      </c>
      <c r="G82" s="150">
        <f>F82*0</f>
        <v>0</v>
      </c>
      <c r="H82" s="85">
        <f t="shared" ref="H82:H107" si="24">E82+G82</f>
        <v>75</v>
      </c>
      <c r="I82" s="56">
        <f t="shared" si="22"/>
        <v>150</v>
      </c>
      <c r="J82" s="83" t="s">
        <v>1958</v>
      </c>
      <c r="N82" s="66"/>
    </row>
    <row r="83" spans="1:14" s="21" customFormat="1" ht="25.5" x14ac:dyDescent="0.25">
      <c r="A83" s="53">
        <f t="shared" si="23"/>
        <v>68</v>
      </c>
      <c r="B83" s="78" t="s">
        <v>1514</v>
      </c>
      <c r="C83" s="53" t="s">
        <v>1505</v>
      </c>
      <c r="D83" s="79">
        <v>1</v>
      </c>
      <c r="E83" s="56">
        <v>35</v>
      </c>
      <c r="F83" s="56">
        <f t="shared" si="21"/>
        <v>35</v>
      </c>
      <c r="G83" s="149">
        <f t="shared" ref="G83:G86" si="25">F83*0.17</f>
        <v>5.95</v>
      </c>
      <c r="H83" s="85">
        <f t="shared" ref="H83:H86" si="26">E83*1.17</f>
        <v>40.949999999999996</v>
      </c>
      <c r="I83" s="56">
        <f t="shared" si="22"/>
        <v>40.949999999999996</v>
      </c>
      <c r="J83" s="83" t="s">
        <v>1959</v>
      </c>
      <c r="N83" s="66"/>
    </row>
    <row r="84" spans="1:14" s="21" customFormat="1" ht="25.5" x14ac:dyDescent="0.25">
      <c r="A84" s="53">
        <f t="shared" si="23"/>
        <v>69</v>
      </c>
      <c r="B84" s="78" t="s">
        <v>1946</v>
      </c>
      <c r="C84" s="53" t="s">
        <v>1505</v>
      </c>
      <c r="D84" s="79">
        <v>1</v>
      </c>
      <c r="E84" s="56">
        <v>55</v>
      </c>
      <c r="F84" s="56">
        <f t="shared" si="21"/>
        <v>55</v>
      </c>
      <c r="G84" s="149">
        <f t="shared" si="25"/>
        <v>9.3500000000000014</v>
      </c>
      <c r="H84" s="85">
        <f t="shared" si="26"/>
        <v>64.349999999999994</v>
      </c>
      <c r="I84" s="56">
        <f t="shared" si="22"/>
        <v>64.349999999999994</v>
      </c>
      <c r="J84" s="83" t="s">
        <v>1959</v>
      </c>
      <c r="N84" s="66"/>
    </row>
    <row r="85" spans="1:14" s="21" customFormat="1" ht="25.5" x14ac:dyDescent="0.25">
      <c r="A85" s="53">
        <f t="shared" si="23"/>
        <v>70</v>
      </c>
      <c r="B85" s="78" t="s">
        <v>1947</v>
      </c>
      <c r="C85" s="53" t="s">
        <v>1505</v>
      </c>
      <c r="D85" s="79">
        <v>1</v>
      </c>
      <c r="E85" s="56">
        <v>75</v>
      </c>
      <c r="F85" s="56">
        <f t="shared" si="21"/>
        <v>75</v>
      </c>
      <c r="G85" s="149">
        <f t="shared" si="25"/>
        <v>12.750000000000002</v>
      </c>
      <c r="H85" s="85">
        <f t="shared" si="26"/>
        <v>87.75</v>
      </c>
      <c r="I85" s="56">
        <f t="shared" si="22"/>
        <v>87.75</v>
      </c>
      <c r="J85" s="83" t="s">
        <v>1959</v>
      </c>
      <c r="N85" s="66"/>
    </row>
    <row r="86" spans="1:14" s="21" customFormat="1" ht="25.5" x14ac:dyDescent="0.25">
      <c r="A86" s="53">
        <f t="shared" si="23"/>
        <v>71</v>
      </c>
      <c r="B86" s="78" t="s">
        <v>1515</v>
      </c>
      <c r="C86" s="53" t="s">
        <v>1505</v>
      </c>
      <c r="D86" s="79">
        <v>1</v>
      </c>
      <c r="E86" s="56">
        <v>100</v>
      </c>
      <c r="F86" s="56">
        <f t="shared" si="21"/>
        <v>100</v>
      </c>
      <c r="G86" s="149">
        <f t="shared" si="25"/>
        <v>17</v>
      </c>
      <c r="H86" s="85">
        <f t="shared" si="26"/>
        <v>117</v>
      </c>
      <c r="I86" s="56">
        <f t="shared" si="22"/>
        <v>117</v>
      </c>
      <c r="J86" s="83" t="s">
        <v>1959</v>
      </c>
      <c r="N86" s="66"/>
    </row>
    <row r="87" spans="1:14" s="21" customFormat="1" ht="25.5" x14ac:dyDescent="0.25">
      <c r="A87" s="53">
        <f t="shared" si="23"/>
        <v>72</v>
      </c>
      <c r="B87" s="78" t="s">
        <v>1488</v>
      </c>
      <c r="C87" s="53" t="s">
        <v>1505</v>
      </c>
      <c r="D87" s="79">
        <v>1</v>
      </c>
      <c r="E87" s="56">
        <v>300</v>
      </c>
      <c r="F87" s="56">
        <f t="shared" si="21"/>
        <v>300</v>
      </c>
      <c r="G87" s="150">
        <f t="shared" ref="G87:G88" si="27">F87*0</f>
        <v>0</v>
      </c>
      <c r="H87" s="85">
        <f t="shared" si="24"/>
        <v>300</v>
      </c>
      <c r="I87" s="56">
        <f t="shared" si="22"/>
        <v>300</v>
      </c>
      <c r="J87" s="83" t="s">
        <v>1959</v>
      </c>
      <c r="N87" s="66"/>
    </row>
    <row r="88" spans="1:14" s="21" customFormat="1" ht="25.5" x14ac:dyDescent="0.25">
      <c r="A88" s="53">
        <f t="shared" si="23"/>
        <v>73</v>
      </c>
      <c r="B88" s="78" t="s">
        <v>1513</v>
      </c>
      <c r="C88" s="53" t="s">
        <v>1505</v>
      </c>
      <c r="D88" s="79">
        <v>1</v>
      </c>
      <c r="E88" s="56">
        <v>75</v>
      </c>
      <c r="F88" s="56">
        <f t="shared" si="21"/>
        <v>75</v>
      </c>
      <c r="G88" s="150">
        <f t="shared" si="27"/>
        <v>0</v>
      </c>
      <c r="H88" s="85">
        <f t="shared" si="24"/>
        <v>75</v>
      </c>
      <c r="I88" s="56">
        <f t="shared" si="22"/>
        <v>75</v>
      </c>
      <c r="J88" s="83" t="s">
        <v>1959</v>
      </c>
      <c r="N88" s="66"/>
    </row>
    <row r="89" spans="1:14" s="21" customFormat="1" ht="25.5" x14ac:dyDescent="0.25">
      <c r="A89" s="53">
        <f t="shared" si="23"/>
        <v>74</v>
      </c>
      <c r="B89" s="78" t="s">
        <v>1491</v>
      </c>
      <c r="C89" s="53" t="s">
        <v>1506</v>
      </c>
      <c r="D89" s="79">
        <v>2</v>
      </c>
      <c r="E89" s="56">
        <v>105</v>
      </c>
      <c r="F89" s="56">
        <f t="shared" si="21"/>
        <v>210</v>
      </c>
      <c r="G89" s="149">
        <f t="shared" ref="G89:G98" si="28">F89*0.17</f>
        <v>35.700000000000003</v>
      </c>
      <c r="H89" s="85">
        <f t="shared" ref="H89:H98" si="29">E89*1.17</f>
        <v>122.85</v>
      </c>
      <c r="I89" s="56">
        <f t="shared" si="22"/>
        <v>245.7</v>
      </c>
      <c r="J89" s="83" t="s">
        <v>1959</v>
      </c>
      <c r="N89" s="66"/>
    </row>
    <row r="90" spans="1:14" s="21" customFormat="1" ht="25.5" x14ac:dyDescent="0.25">
      <c r="A90" s="53">
        <f t="shared" si="23"/>
        <v>75</v>
      </c>
      <c r="B90" s="78" t="s">
        <v>1492</v>
      </c>
      <c r="C90" s="53" t="s">
        <v>1506</v>
      </c>
      <c r="D90" s="79">
        <v>2</v>
      </c>
      <c r="E90" s="56">
        <v>140</v>
      </c>
      <c r="F90" s="56">
        <f t="shared" si="21"/>
        <v>280</v>
      </c>
      <c r="G90" s="149">
        <f t="shared" si="28"/>
        <v>47.6</v>
      </c>
      <c r="H90" s="85">
        <f t="shared" si="29"/>
        <v>163.79999999999998</v>
      </c>
      <c r="I90" s="56">
        <f t="shared" si="22"/>
        <v>327.59999999999997</v>
      </c>
      <c r="J90" s="83" t="s">
        <v>1959</v>
      </c>
      <c r="N90" s="66"/>
    </row>
    <row r="91" spans="1:14" s="21" customFormat="1" ht="15.75" x14ac:dyDescent="0.25">
      <c r="A91" s="53">
        <f t="shared" si="23"/>
        <v>76</v>
      </c>
      <c r="B91" s="78" t="s">
        <v>1501</v>
      </c>
      <c r="C91" s="53" t="s">
        <v>1506</v>
      </c>
      <c r="D91" s="79">
        <v>2</v>
      </c>
      <c r="E91" s="56">
        <v>28</v>
      </c>
      <c r="F91" s="56">
        <f t="shared" si="21"/>
        <v>56</v>
      </c>
      <c r="G91" s="149">
        <f t="shared" si="28"/>
        <v>9.5200000000000014</v>
      </c>
      <c r="H91" s="85">
        <f t="shared" si="29"/>
        <v>32.76</v>
      </c>
      <c r="I91" s="56">
        <f t="shared" si="22"/>
        <v>65.52</v>
      </c>
      <c r="J91" s="83" t="s">
        <v>1959</v>
      </c>
      <c r="N91" s="66"/>
    </row>
    <row r="92" spans="1:14" s="21" customFormat="1" ht="15.75" x14ac:dyDescent="0.25">
      <c r="A92" s="53">
        <f t="shared" si="23"/>
        <v>77</v>
      </c>
      <c r="B92" s="78" t="s">
        <v>1495</v>
      </c>
      <c r="C92" s="53" t="s">
        <v>1506</v>
      </c>
      <c r="D92" s="79">
        <v>1</v>
      </c>
      <c r="E92" s="56">
        <v>110</v>
      </c>
      <c r="F92" s="56">
        <f t="shared" si="21"/>
        <v>110</v>
      </c>
      <c r="G92" s="149">
        <f t="shared" si="28"/>
        <v>18.700000000000003</v>
      </c>
      <c r="H92" s="85">
        <f t="shared" si="29"/>
        <v>128.69999999999999</v>
      </c>
      <c r="I92" s="56">
        <f t="shared" si="22"/>
        <v>128.69999999999999</v>
      </c>
      <c r="J92" s="83" t="s">
        <v>1959</v>
      </c>
      <c r="N92" s="66"/>
    </row>
    <row r="93" spans="1:14" s="21" customFormat="1" ht="15.75" x14ac:dyDescent="0.25">
      <c r="A93" s="53">
        <f t="shared" si="23"/>
        <v>78</v>
      </c>
      <c r="B93" s="78" t="s">
        <v>1502</v>
      </c>
      <c r="C93" s="53" t="s">
        <v>1506</v>
      </c>
      <c r="D93" s="79">
        <v>2</v>
      </c>
      <c r="E93" s="56">
        <v>7</v>
      </c>
      <c r="F93" s="56">
        <f t="shared" si="21"/>
        <v>14</v>
      </c>
      <c r="G93" s="149">
        <f t="shared" si="28"/>
        <v>2.3800000000000003</v>
      </c>
      <c r="H93" s="85">
        <f t="shared" si="29"/>
        <v>8.19</v>
      </c>
      <c r="I93" s="56">
        <f t="shared" si="22"/>
        <v>16.38</v>
      </c>
      <c r="J93" s="83" t="s">
        <v>1959</v>
      </c>
      <c r="N93" s="66"/>
    </row>
    <row r="94" spans="1:14" s="21" customFormat="1" ht="15.75" x14ac:dyDescent="0.25">
      <c r="A94" s="53">
        <f t="shared" si="23"/>
        <v>79</v>
      </c>
      <c r="B94" s="78" t="s">
        <v>1504</v>
      </c>
      <c r="C94" s="53" t="s">
        <v>1506</v>
      </c>
      <c r="D94" s="79">
        <v>6</v>
      </c>
      <c r="E94" s="56">
        <v>20</v>
      </c>
      <c r="F94" s="56">
        <f t="shared" si="21"/>
        <v>120</v>
      </c>
      <c r="G94" s="149">
        <f t="shared" si="28"/>
        <v>20.400000000000002</v>
      </c>
      <c r="H94" s="85">
        <f t="shared" si="29"/>
        <v>23.4</v>
      </c>
      <c r="I94" s="56">
        <f t="shared" si="22"/>
        <v>140.39999999999998</v>
      </c>
      <c r="J94" s="83" t="s">
        <v>1959</v>
      </c>
      <c r="N94" s="66"/>
    </row>
    <row r="95" spans="1:14" s="21" customFormat="1" ht="25.5" x14ac:dyDescent="0.25">
      <c r="A95" s="53">
        <f t="shared" si="23"/>
        <v>80</v>
      </c>
      <c r="B95" s="78" t="s">
        <v>1517</v>
      </c>
      <c r="C95" s="53" t="s">
        <v>1506</v>
      </c>
      <c r="D95" s="79">
        <v>1</v>
      </c>
      <c r="E95" s="56">
        <v>250</v>
      </c>
      <c r="F95" s="56">
        <f t="shared" si="21"/>
        <v>250</v>
      </c>
      <c r="G95" s="149">
        <f t="shared" si="28"/>
        <v>42.5</v>
      </c>
      <c r="H95" s="85">
        <f t="shared" si="29"/>
        <v>292.5</v>
      </c>
      <c r="I95" s="56">
        <f t="shared" si="22"/>
        <v>292.5</v>
      </c>
      <c r="J95" s="83" t="s">
        <v>1960</v>
      </c>
      <c r="N95" s="66"/>
    </row>
    <row r="96" spans="1:14" s="21" customFormat="1" ht="15.75" x14ac:dyDescent="0.25">
      <c r="A96" s="53">
        <f t="shared" si="23"/>
        <v>81</v>
      </c>
      <c r="B96" s="78" t="s">
        <v>1526</v>
      </c>
      <c r="C96" s="53" t="s">
        <v>23</v>
      </c>
      <c r="D96" s="79">
        <v>40</v>
      </c>
      <c r="E96" s="56">
        <v>50</v>
      </c>
      <c r="F96" s="56">
        <f t="shared" si="21"/>
        <v>2000</v>
      </c>
      <c r="G96" s="149">
        <f t="shared" si="28"/>
        <v>340</v>
      </c>
      <c r="H96" s="85">
        <f t="shared" si="29"/>
        <v>58.5</v>
      </c>
      <c r="I96" s="56">
        <f t="shared" si="22"/>
        <v>2340</v>
      </c>
      <c r="J96" s="83" t="s">
        <v>1960</v>
      </c>
      <c r="N96" s="66"/>
    </row>
    <row r="97" spans="1:14" s="21" customFormat="1" ht="15.75" x14ac:dyDescent="0.25">
      <c r="A97" s="53">
        <f t="shared" si="23"/>
        <v>82</v>
      </c>
      <c r="B97" s="78" t="s">
        <v>1527</v>
      </c>
      <c r="C97" s="53" t="s">
        <v>23</v>
      </c>
      <c r="D97" s="79">
        <v>40</v>
      </c>
      <c r="E97" s="56">
        <v>28</v>
      </c>
      <c r="F97" s="56">
        <f t="shared" si="21"/>
        <v>1120</v>
      </c>
      <c r="G97" s="149">
        <f t="shared" si="28"/>
        <v>190.4</v>
      </c>
      <c r="H97" s="85">
        <f t="shared" si="29"/>
        <v>32.76</v>
      </c>
      <c r="I97" s="56">
        <f t="shared" si="22"/>
        <v>1310.3999999999999</v>
      </c>
      <c r="J97" s="83" t="s">
        <v>1960</v>
      </c>
      <c r="N97" s="66"/>
    </row>
    <row r="98" spans="1:14" s="21" customFormat="1" ht="15.75" x14ac:dyDescent="0.25">
      <c r="A98" s="53">
        <f t="shared" si="23"/>
        <v>83</v>
      </c>
      <c r="B98" s="78" t="s">
        <v>1528</v>
      </c>
      <c r="C98" s="53" t="s">
        <v>23</v>
      </c>
      <c r="D98" s="79">
        <v>5</v>
      </c>
      <c r="E98" s="56">
        <v>100</v>
      </c>
      <c r="F98" s="56">
        <f t="shared" si="21"/>
        <v>500</v>
      </c>
      <c r="G98" s="149">
        <f t="shared" si="28"/>
        <v>85</v>
      </c>
      <c r="H98" s="85">
        <f t="shared" si="29"/>
        <v>117</v>
      </c>
      <c r="I98" s="56">
        <f t="shared" si="22"/>
        <v>585</v>
      </c>
      <c r="J98" s="83" t="s">
        <v>1960</v>
      </c>
      <c r="N98" s="66"/>
    </row>
    <row r="99" spans="1:14" s="21" customFormat="1" ht="15.75" x14ac:dyDescent="0.25">
      <c r="A99" s="53">
        <f t="shared" si="23"/>
        <v>84</v>
      </c>
      <c r="B99" s="78" t="s">
        <v>1529</v>
      </c>
      <c r="C99" s="53" t="s">
        <v>23</v>
      </c>
      <c r="D99" s="79">
        <v>10</v>
      </c>
      <c r="E99" s="56">
        <v>28</v>
      </c>
      <c r="F99" s="56">
        <f t="shared" si="21"/>
        <v>280</v>
      </c>
      <c r="G99" s="150">
        <f>F99*0</f>
        <v>0</v>
      </c>
      <c r="H99" s="85">
        <f t="shared" si="24"/>
        <v>28</v>
      </c>
      <c r="I99" s="56">
        <f t="shared" si="22"/>
        <v>280</v>
      </c>
      <c r="J99" s="83" t="s">
        <v>1960</v>
      </c>
      <c r="N99" s="66"/>
    </row>
    <row r="100" spans="1:14" s="21" customFormat="1" ht="15.75" x14ac:dyDescent="0.25">
      <c r="A100" s="53">
        <f t="shared" si="23"/>
        <v>85</v>
      </c>
      <c r="B100" s="78" t="s">
        <v>1495</v>
      </c>
      <c r="C100" s="53" t="s">
        <v>1506</v>
      </c>
      <c r="D100" s="79">
        <v>5</v>
      </c>
      <c r="E100" s="56">
        <v>110</v>
      </c>
      <c r="F100" s="56">
        <f t="shared" si="21"/>
        <v>550</v>
      </c>
      <c r="G100" s="149">
        <f>F100*0.17</f>
        <v>93.5</v>
      </c>
      <c r="H100" s="85">
        <f>E100*1.17</f>
        <v>128.69999999999999</v>
      </c>
      <c r="I100" s="56">
        <f t="shared" si="22"/>
        <v>643.5</v>
      </c>
      <c r="J100" s="83" t="s">
        <v>1960</v>
      </c>
      <c r="N100" s="66"/>
    </row>
    <row r="101" spans="1:14" s="21" customFormat="1" ht="15.75" x14ac:dyDescent="0.25">
      <c r="A101" s="53">
        <f t="shared" si="23"/>
        <v>86</v>
      </c>
      <c r="B101" s="78" t="s">
        <v>1949</v>
      </c>
      <c r="C101" s="53" t="s">
        <v>76</v>
      </c>
      <c r="D101" s="79">
        <v>5</v>
      </c>
      <c r="E101" s="56">
        <v>75</v>
      </c>
      <c r="F101" s="56">
        <f t="shared" si="21"/>
        <v>375</v>
      </c>
      <c r="G101" s="150">
        <f>F101*0</f>
        <v>0</v>
      </c>
      <c r="H101" s="85">
        <f t="shared" si="24"/>
        <v>75</v>
      </c>
      <c r="I101" s="56">
        <f t="shared" si="22"/>
        <v>375</v>
      </c>
      <c r="J101" s="83" t="s">
        <v>1960</v>
      </c>
      <c r="N101" s="66"/>
    </row>
    <row r="102" spans="1:14" s="21" customFormat="1" ht="15.75" x14ac:dyDescent="0.25">
      <c r="A102" s="53">
        <f t="shared" si="23"/>
        <v>87</v>
      </c>
      <c r="B102" s="78" t="s">
        <v>1950</v>
      </c>
      <c r="C102" s="53" t="s">
        <v>23</v>
      </c>
      <c r="D102" s="79">
        <v>3</v>
      </c>
      <c r="E102" s="56">
        <v>110</v>
      </c>
      <c r="F102" s="56">
        <f t="shared" si="21"/>
        <v>330</v>
      </c>
      <c r="G102" s="149">
        <f>F102*0.17</f>
        <v>56.1</v>
      </c>
      <c r="H102" s="85">
        <f>E102*1.17</f>
        <v>128.69999999999999</v>
      </c>
      <c r="I102" s="56">
        <f t="shared" si="22"/>
        <v>386.09999999999997</v>
      </c>
      <c r="J102" s="83" t="s">
        <v>1960</v>
      </c>
      <c r="N102" s="66"/>
    </row>
    <row r="103" spans="1:14" s="21" customFormat="1" ht="15.75" x14ac:dyDescent="0.25">
      <c r="A103" s="53">
        <f t="shared" si="23"/>
        <v>88</v>
      </c>
      <c r="B103" s="78" t="s">
        <v>1519</v>
      </c>
      <c r="C103" s="53" t="s">
        <v>1506</v>
      </c>
      <c r="D103" s="79">
        <v>24</v>
      </c>
      <c r="E103" s="56">
        <v>32</v>
      </c>
      <c r="F103" s="56">
        <f t="shared" si="21"/>
        <v>768</v>
      </c>
      <c r="G103" s="150">
        <f>F103*0</f>
        <v>0</v>
      </c>
      <c r="H103" s="85">
        <f t="shared" si="24"/>
        <v>32</v>
      </c>
      <c r="I103" s="56">
        <f t="shared" si="22"/>
        <v>768</v>
      </c>
      <c r="J103" s="83" t="s">
        <v>1961</v>
      </c>
      <c r="N103" s="66"/>
    </row>
    <row r="104" spans="1:14" s="21" customFormat="1" ht="15.75" x14ac:dyDescent="0.25">
      <c r="A104" s="53">
        <f t="shared" si="23"/>
        <v>89</v>
      </c>
      <c r="B104" s="78" t="s">
        <v>1487</v>
      </c>
      <c r="C104" s="53" t="s">
        <v>1506</v>
      </c>
      <c r="D104" s="79">
        <v>6</v>
      </c>
      <c r="E104" s="56">
        <v>155</v>
      </c>
      <c r="F104" s="56">
        <f t="shared" si="21"/>
        <v>930</v>
      </c>
      <c r="G104" s="149">
        <f t="shared" ref="G104:G106" si="30">F104*0.17</f>
        <v>158.10000000000002</v>
      </c>
      <c r="H104" s="85">
        <f t="shared" ref="H104:H106" si="31">E104*1.17</f>
        <v>181.35</v>
      </c>
      <c r="I104" s="56">
        <f t="shared" si="22"/>
        <v>1088.0999999999999</v>
      </c>
      <c r="J104" s="83" t="s">
        <v>1961</v>
      </c>
      <c r="N104" s="66"/>
    </row>
    <row r="105" spans="1:14" s="21" customFormat="1" ht="15.75" x14ac:dyDescent="0.25">
      <c r="A105" s="53">
        <f t="shared" si="23"/>
        <v>90</v>
      </c>
      <c r="B105" s="78" t="s">
        <v>1489</v>
      </c>
      <c r="C105" s="53" t="s">
        <v>1506</v>
      </c>
      <c r="D105" s="79">
        <v>24</v>
      </c>
      <c r="E105" s="56">
        <v>12</v>
      </c>
      <c r="F105" s="56">
        <f t="shared" si="21"/>
        <v>288</v>
      </c>
      <c r="G105" s="149">
        <f t="shared" si="30"/>
        <v>48.96</v>
      </c>
      <c r="H105" s="85">
        <f t="shared" si="31"/>
        <v>14.04</v>
      </c>
      <c r="I105" s="56">
        <f t="shared" si="22"/>
        <v>336.96</v>
      </c>
      <c r="J105" s="83" t="s">
        <v>1961</v>
      </c>
      <c r="N105" s="66"/>
    </row>
    <row r="106" spans="1:14" s="21" customFormat="1" ht="15.75" x14ac:dyDescent="0.25">
      <c r="A106" s="53">
        <f t="shared" si="23"/>
        <v>91</v>
      </c>
      <c r="B106" s="78" t="s">
        <v>1544</v>
      </c>
      <c r="C106" s="53" t="s">
        <v>1506</v>
      </c>
      <c r="D106" s="79">
        <v>12</v>
      </c>
      <c r="E106" s="56">
        <v>100</v>
      </c>
      <c r="F106" s="56">
        <f t="shared" si="21"/>
        <v>1200</v>
      </c>
      <c r="G106" s="149">
        <f t="shared" si="30"/>
        <v>204.00000000000003</v>
      </c>
      <c r="H106" s="85">
        <f t="shared" si="31"/>
        <v>117</v>
      </c>
      <c r="I106" s="56">
        <f t="shared" si="22"/>
        <v>1404</v>
      </c>
      <c r="J106" s="83" t="s">
        <v>1961</v>
      </c>
      <c r="N106" s="66"/>
    </row>
    <row r="107" spans="1:14" s="21" customFormat="1" ht="15.75" x14ac:dyDescent="0.25">
      <c r="A107" s="53">
        <f t="shared" si="23"/>
        <v>92</v>
      </c>
      <c r="B107" s="78" t="s">
        <v>1949</v>
      </c>
      <c r="C107" s="53" t="s">
        <v>76</v>
      </c>
      <c r="D107" s="79">
        <v>10</v>
      </c>
      <c r="E107" s="56">
        <v>75</v>
      </c>
      <c r="F107" s="56">
        <f t="shared" si="21"/>
        <v>750</v>
      </c>
      <c r="G107" s="150">
        <f>F107*0</f>
        <v>0</v>
      </c>
      <c r="H107" s="85">
        <f t="shared" si="24"/>
        <v>75</v>
      </c>
      <c r="I107" s="56">
        <f t="shared" si="22"/>
        <v>750</v>
      </c>
      <c r="J107" s="83" t="s">
        <v>1961</v>
      </c>
      <c r="N107" s="66"/>
    </row>
    <row r="108" spans="1:14" s="21" customFormat="1" ht="25.5" x14ac:dyDescent="0.25">
      <c r="A108" s="53">
        <f t="shared" si="23"/>
        <v>93</v>
      </c>
      <c r="B108" s="78" t="s">
        <v>1951</v>
      </c>
      <c r="C108" s="53" t="s">
        <v>23</v>
      </c>
      <c r="D108" s="79">
        <v>6</v>
      </c>
      <c r="E108" s="56">
        <v>130</v>
      </c>
      <c r="F108" s="56">
        <f t="shared" si="21"/>
        <v>780</v>
      </c>
      <c r="G108" s="149">
        <f t="shared" ref="G108:G110" si="32">F108*0.17</f>
        <v>132.60000000000002</v>
      </c>
      <c r="H108" s="85">
        <f t="shared" ref="H108:H110" si="33">E108*1.17</f>
        <v>152.1</v>
      </c>
      <c r="I108" s="56">
        <f t="shared" si="22"/>
        <v>912.59999999999991</v>
      </c>
      <c r="J108" s="83" t="s">
        <v>1961</v>
      </c>
      <c r="N108" s="66"/>
    </row>
    <row r="109" spans="1:14" s="21" customFormat="1" ht="15.75" x14ac:dyDescent="0.25">
      <c r="A109" s="53">
        <f t="shared" si="23"/>
        <v>94</v>
      </c>
      <c r="B109" s="78" t="s">
        <v>1525</v>
      </c>
      <c r="C109" s="53" t="s">
        <v>931</v>
      </c>
      <c r="D109" s="79">
        <v>60</v>
      </c>
      <c r="E109" s="56">
        <v>40</v>
      </c>
      <c r="F109" s="56">
        <f t="shared" si="21"/>
        <v>2400</v>
      </c>
      <c r="G109" s="149">
        <f t="shared" si="32"/>
        <v>408.00000000000006</v>
      </c>
      <c r="H109" s="85">
        <f t="shared" si="33"/>
        <v>46.8</v>
      </c>
      <c r="I109" s="56">
        <f t="shared" si="22"/>
        <v>2808</v>
      </c>
      <c r="J109" s="83" t="s">
        <v>1962</v>
      </c>
      <c r="N109" s="66"/>
    </row>
    <row r="110" spans="1:14" s="21" customFormat="1" ht="15.75" x14ac:dyDescent="0.25">
      <c r="A110" s="53">
        <f t="shared" si="23"/>
        <v>95</v>
      </c>
      <c r="B110" s="78" t="s">
        <v>1952</v>
      </c>
      <c r="C110" s="53" t="s">
        <v>931</v>
      </c>
      <c r="D110" s="79">
        <v>15</v>
      </c>
      <c r="E110" s="56">
        <v>180</v>
      </c>
      <c r="F110" s="56">
        <f t="shared" si="21"/>
        <v>2700</v>
      </c>
      <c r="G110" s="149">
        <f t="shared" si="32"/>
        <v>459.00000000000006</v>
      </c>
      <c r="H110" s="85">
        <f t="shared" si="33"/>
        <v>210.6</v>
      </c>
      <c r="I110" s="56">
        <f t="shared" si="22"/>
        <v>3159</v>
      </c>
      <c r="J110" s="83" t="s">
        <v>1962</v>
      </c>
      <c r="N110" s="66"/>
    </row>
    <row r="111" spans="1:14" s="21" customFormat="1" x14ac:dyDescent="0.25">
      <c r="A111" s="53"/>
      <c r="B111" s="47"/>
      <c r="C111" s="53"/>
      <c r="D111" s="79"/>
      <c r="E111" s="56"/>
      <c r="F111" s="56"/>
      <c r="G111" s="56"/>
      <c r="H111" s="57"/>
      <c r="I111" s="56"/>
      <c r="J111" s="58"/>
      <c r="N111" s="66"/>
    </row>
    <row r="112" spans="1:14" ht="15.75" thickBot="1" x14ac:dyDescent="0.3">
      <c r="A112" s="33"/>
      <c r="B112" s="34" t="s">
        <v>24</v>
      </c>
      <c r="C112" s="35"/>
      <c r="D112" s="62">
        <f>SUM(D16:D111)</f>
        <v>470</v>
      </c>
      <c r="E112" s="35"/>
      <c r="F112" s="62">
        <f>SUM(F16:F111)</f>
        <v>45025</v>
      </c>
      <c r="G112" s="62">
        <f>SUM(G16:G111)</f>
        <v>5509.87</v>
      </c>
      <c r="H112" s="35"/>
      <c r="I112" s="62">
        <f>SUM(I16:I111)</f>
        <v>50534.869999999974</v>
      </c>
      <c r="J112" s="37"/>
    </row>
    <row r="113" spans="1:18" ht="15.75" thickTop="1" x14ac:dyDescent="0.25">
      <c r="A113" s="33"/>
      <c r="B113" s="34" t="s">
        <v>2050</v>
      </c>
      <c r="C113" s="35"/>
      <c r="D113" s="35"/>
      <c r="E113" s="35"/>
      <c r="F113" s="35"/>
      <c r="G113" s="35"/>
      <c r="H113" s="35"/>
      <c r="I113" s="35"/>
      <c r="J113" s="37"/>
    </row>
    <row r="114" spans="1:18" x14ac:dyDescent="0.25">
      <c r="A114" s="33"/>
      <c r="B114" s="38" t="s">
        <v>25</v>
      </c>
      <c r="C114" s="35"/>
      <c r="D114" s="35"/>
      <c r="E114" s="35"/>
      <c r="F114" s="35"/>
      <c r="G114" s="35"/>
      <c r="H114" s="35"/>
      <c r="I114" s="35"/>
      <c r="J114" s="37"/>
      <c r="M114" s="64"/>
      <c r="O114" s="65"/>
      <c r="P114" s="64"/>
      <c r="Q114" s="64"/>
      <c r="R114" s="64"/>
    </row>
    <row r="115" spans="1:18" ht="30" customHeight="1" x14ac:dyDescent="0.25">
      <c r="B115" s="183" t="s">
        <v>26</v>
      </c>
      <c r="C115" s="183"/>
      <c r="D115" s="183"/>
      <c r="E115" s="183"/>
      <c r="F115" s="183"/>
      <c r="G115" s="183"/>
      <c r="H115" s="183"/>
      <c r="I115" s="183"/>
      <c r="J115" s="183"/>
      <c r="P115" s="64"/>
      <c r="R115" s="65"/>
    </row>
    <row r="116" spans="1:18" x14ac:dyDescent="0.25">
      <c r="B116" t="s">
        <v>634</v>
      </c>
    </row>
    <row r="119" spans="1:18" x14ac:dyDescent="0.25">
      <c r="B119" t="s">
        <v>28</v>
      </c>
      <c r="H119" t="s">
        <v>28</v>
      </c>
    </row>
    <row r="120" spans="1:18" x14ac:dyDescent="0.25">
      <c r="B120" t="s">
        <v>29</v>
      </c>
      <c r="H120" t="s">
        <v>30</v>
      </c>
    </row>
  </sheetData>
  <autoFilter ref="A15:J116" xr:uid="{00000000-0009-0000-0000-000000000000}"/>
  <mergeCells count="5">
    <mergeCell ref="A6:J6"/>
    <mergeCell ref="I7:J7"/>
    <mergeCell ref="I8:J8"/>
    <mergeCell ref="I9:J9"/>
    <mergeCell ref="B115:J115"/>
  </mergeCells>
  <hyperlinks>
    <hyperlink ref="H5" r:id="rId1" xr:uid="{D1B0D2FE-F2C9-46F6-9946-302C90962301}"/>
  </hyperlinks>
  <pageMargins left="0.2" right="0.1" top="0.25" bottom="0.25" header="0.3" footer="0.3"/>
  <pageSetup paperSize="9" orientation="portrait" r:id="rId2"/>
  <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A84AD-BAC1-4E3B-A585-DD300B821611}">
  <dimension ref="A1:R27"/>
  <sheetViews>
    <sheetView workbookViewId="0">
      <selection activeCell="B4" sqref="B4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1925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1933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1934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1433</v>
      </c>
      <c r="C16" s="53" t="s">
        <v>987</v>
      </c>
      <c r="D16" s="79">
        <v>24</v>
      </c>
      <c r="E16" s="56">
        <v>26</v>
      </c>
      <c r="F16" s="56">
        <f>D16*E16</f>
        <v>624</v>
      </c>
      <c r="G16" s="56">
        <f>F16*0</f>
        <v>0</v>
      </c>
      <c r="H16" s="125">
        <f>E16*1</f>
        <v>26</v>
      </c>
      <c r="I16" s="56">
        <f t="shared" ref="I16:I17" si="0">H16*D16</f>
        <v>624</v>
      </c>
      <c r="J16" s="83"/>
      <c r="N16" s="66"/>
    </row>
    <row r="17" spans="1:18" s="21" customFormat="1" ht="15.75" x14ac:dyDescent="0.25">
      <c r="A17" s="53">
        <v>2</v>
      </c>
      <c r="B17" s="78" t="s">
        <v>1434</v>
      </c>
      <c r="C17" s="53" t="s">
        <v>987</v>
      </c>
      <c r="D17" s="79">
        <v>48</v>
      </c>
      <c r="E17" s="56">
        <v>26</v>
      </c>
      <c r="F17" s="56">
        <f>D17*E17</f>
        <v>1248</v>
      </c>
      <c r="G17" s="56">
        <f>F17*0</f>
        <v>0</v>
      </c>
      <c r="H17" s="125">
        <f>E17*1</f>
        <v>26</v>
      </c>
      <c r="I17" s="56">
        <f t="shared" si="0"/>
        <v>1248</v>
      </c>
      <c r="J17" s="83"/>
      <c r="N17" s="66"/>
    </row>
    <row r="18" spans="1:18" s="21" customFormat="1" x14ac:dyDescent="0.25">
      <c r="A18" s="53"/>
      <c r="B18" s="47"/>
      <c r="C18" s="53"/>
      <c r="D18" s="79"/>
      <c r="E18" s="56"/>
      <c r="F18" s="56"/>
      <c r="G18" s="56"/>
      <c r="H18" s="57"/>
      <c r="I18" s="56"/>
      <c r="J18" s="58"/>
      <c r="N18" s="66"/>
    </row>
    <row r="19" spans="1:18" ht="15.75" thickBot="1" x14ac:dyDescent="0.3">
      <c r="A19" s="33"/>
      <c r="B19" s="34" t="s">
        <v>24</v>
      </c>
      <c r="C19" s="35"/>
      <c r="D19" s="62">
        <f>SUM(D16:D18)</f>
        <v>72</v>
      </c>
      <c r="E19" s="35"/>
      <c r="F19" s="62">
        <f>SUM(F16:F18)</f>
        <v>1872</v>
      </c>
      <c r="G19" s="62">
        <f>SUM(G16:G18)</f>
        <v>0</v>
      </c>
      <c r="H19" s="35"/>
      <c r="I19" s="62">
        <f>SUM(I16:I18)</f>
        <v>1872</v>
      </c>
      <c r="J19" s="37"/>
    </row>
    <row r="20" spans="1:18" ht="15.75" thickTop="1" x14ac:dyDescent="0.25">
      <c r="A20" s="33"/>
      <c r="B20" s="34" t="s">
        <v>1935</v>
      </c>
      <c r="C20" s="35"/>
      <c r="D20" s="35"/>
      <c r="E20" s="35"/>
      <c r="F20" s="35"/>
      <c r="G20" s="35"/>
      <c r="H20" s="35"/>
      <c r="I20" s="35"/>
      <c r="J20" s="37"/>
    </row>
    <row r="21" spans="1:18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  <c r="M21" s="64"/>
      <c r="O21" s="65"/>
      <c r="P21" s="64"/>
      <c r="Q21" s="64"/>
      <c r="R21" s="64"/>
    </row>
    <row r="22" spans="1:18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  <c r="P22" s="64"/>
      <c r="R22" s="65"/>
    </row>
    <row r="23" spans="1:18" x14ac:dyDescent="0.25">
      <c r="B23" t="s">
        <v>634</v>
      </c>
    </row>
    <row r="26" spans="1:18" x14ac:dyDescent="0.25">
      <c r="B26" t="s">
        <v>28</v>
      </c>
      <c r="H26" t="s">
        <v>28</v>
      </c>
    </row>
    <row r="27" spans="1:18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EC2EBF1D-92B8-4B72-A7A2-325E92CF44AF}"/>
  </hyperlinks>
  <pageMargins left="0.2" right="0.1" top="0.25" bottom="0.25" header="0.3" footer="0.3"/>
  <pageSetup paperSize="9" orientation="portrait" r:id="rId2"/>
  <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23BE3-A1DD-46D1-9287-BF50457B6823}">
  <dimension ref="A1:R28"/>
  <sheetViews>
    <sheetView workbookViewId="0"/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1925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1928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1929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1917</v>
      </c>
      <c r="C16" s="53" t="s">
        <v>987</v>
      </c>
      <c r="D16" s="79">
        <v>1</v>
      </c>
      <c r="E16" s="56">
        <v>400</v>
      </c>
      <c r="F16" s="56">
        <f>D16*E16</f>
        <v>400</v>
      </c>
      <c r="G16" s="56">
        <f>F16*0.17</f>
        <v>68</v>
      </c>
      <c r="H16" s="125">
        <f>E16*1.17</f>
        <v>468</v>
      </c>
      <c r="I16" s="56">
        <f t="shared" ref="I16:I18" si="0">H16*D16</f>
        <v>468</v>
      </c>
      <c r="J16" s="83"/>
      <c r="N16" s="66"/>
    </row>
    <row r="17" spans="1:18" s="21" customFormat="1" ht="25.5" x14ac:dyDescent="0.25">
      <c r="A17" s="53">
        <v>2</v>
      </c>
      <c r="B17" s="78" t="s">
        <v>1930</v>
      </c>
      <c r="C17" s="53" t="s">
        <v>987</v>
      </c>
      <c r="D17" s="79">
        <v>1</v>
      </c>
      <c r="E17" s="56">
        <v>1850</v>
      </c>
      <c r="F17" s="56">
        <f>D17*E17</f>
        <v>1850</v>
      </c>
      <c r="G17" s="56">
        <f>F17*0.17</f>
        <v>314.5</v>
      </c>
      <c r="H17" s="125">
        <f>E17*1.17</f>
        <v>2164.5</v>
      </c>
      <c r="I17" s="56">
        <f t="shared" si="0"/>
        <v>2164.5</v>
      </c>
      <c r="J17" s="83"/>
      <c r="N17" s="66"/>
    </row>
    <row r="18" spans="1:18" s="21" customFormat="1" ht="15.75" x14ac:dyDescent="0.25">
      <c r="A18" s="53">
        <v>3</v>
      </c>
      <c r="B18" s="78" t="s">
        <v>1931</v>
      </c>
      <c r="C18" s="53" t="s">
        <v>987</v>
      </c>
      <c r="D18" s="79">
        <v>1</v>
      </c>
      <c r="E18" s="56">
        <v>3200</v>
      </c>
      <c r="F18" s="56">
        <f>D18*E18</f>
        <v>3200</v>
      </c>
      <c r="G18" s="56">
        <f>F18*0.17</f>
        <v>544</v>
      </c>
      <c r="H18" s="125">
        <f>E18*1.17</f>
        <v>3744</v>
      </c>
      <c r="I18" s="56">
        <f t="shared" si="0"/>
        <v>3744</v>
      </c>
      <c r="J18" s="83"/>
      <c r="N18" s="66"/>
    </row>
    <row r="19" spans="1:18" s="21" customFormat="1" x14ac:dyDescent="0.25">
      <c r="A19" s="53"/>
      <c r="B19" s="47"/>
      <c r="C19" s="53"/>
      <c r="D19" s="79"/>
      <c r="E19" s="56"/>
      <c r="F19" s="56"/>
      <c r="G19" s="56"/>
      <c r="H19" s="57"/>
      <c r="I19" s="56"/>
      <c r="J19" s="58"/>
      <c r="N19" s="66"/>
    </row>
    <row r="20" spans="1:18" ht="15.75" thickBot="1" x14ac:dyDescent="0.3">
      <c r="A20" s="33"/>
      <c r="B20" s="34" t="s">
        <v>24</v>
      </c>
      <c r="C20" s="35"/>
      <c r="D20" s="62">
        <f>SUM(D16:D19)</f>
        <v>3</v>
      </c>
      <c r="E20" s="35"/>
      <c r="F20" s="62">
        <f>SUM(F16:F19)</f>
        <v>5450</v>
      </c>
      <c r="G20" s="62">
        <f>SUM(G16:G19)</f>
        <v>926.5</v>
      </c>
      <c r="H20" s="35"/>
      <c r="I20" s="62">
        <f>SUM(I16:I19)</f>
        <v>6376.5</v>
      </c>
      <c r="J20" s="37"/>
    </row>
    <row r="21" spans="1:18" ht="15.75" thickTop="1" x14ac:dyDescent="0.25">
      <c r="A21" s="33"/>
      <c r="B21" s="34" t="s">
        <v>1932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/>
      <c r="O22" s="65"/>
      <c r="P22" s="64"/>
      <c r="Q22" s="64"/>
      <c r="R22" s="64"/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/>
    </row>
    <row r="24" spans="1:18" x14ac:dyDescent="0.25">
      <c r="B24" t="s">
        <v>634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1689DD4F-16BD-4A4C-AA64-F10C2225FFD2}"/>
  </hyperlinks>
  <pageMargins left="0.2" right="0.1" top="0.25" bottom="0.25" header="0.3" footer="0.3"/>
  <pageSetup paperSize="9" orientation="portrait" r:id="rId2"/>
  <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40CE1-1DD3-4104-8991-2686D26BD5F8}">
  <dimension ref="A1:R26"/>
  <sheetViews>
    <sheetView workbookViewId="0">
      <selection activeCell="A6" sqref="A6:J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1925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1924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1927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1857</v>
      </c>
      <c r="C16" s="53" t="s">
        <v>987</v>
      </c>
      <c r="D16" s="79">
        <v>1</v>
      </c>
      <c r="E16" s="56">
        <v>687</v>
      </c>
      <c r="F16" s="56">
        <f>D16*E16</f>
        <v>687</v>
      </c>
      <c r="G16" s="56">
        <f>F16*0.17</f>
        <v>116.79</v>
      </c>
      <c r="H16" s="125">
        <f>E16*1.17</f>
        <v>803.79</v>
      </c>
      <c r="I16" s="56">
        <f t="shared" ref="I16" si="0">H16*D16</f>
        <v>803.79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1</v>
      </c>
      <c r="E18" s="35"/>
      <c r="F18" s="62">
        <f>SUM(F16:F17)</f>
        <v>687</v>
      </c>
      <c r="G18" s="62">
        <f>SUM(G16:G17)</f>
        <v>116.79</v>
      </c>
      <c r="H18" s="35"/>
      <c r="I18" s="62">
        <f>SUM(I16:I17)</f>
        <v>803.79</v>
      </c>
      <c r="J18" s="37"/>
    </row>
    <row r="19" spans="1:18" ht="15.75" thickTop="1" x14ac:dyDescent="0.25">
      <c r="A19" s="33"/>
      <c r="B19" s="34" t="s">
        <v>1926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35B76460-A0E6-4AB9-8094-8BE388B95289}"/>
  </hyperlinks>
  <pageMargins left="0.2" right="0.1" top="0.25" bottom="0.25" header="0.3" footer="0.3"/>
  <pageSetup paperSize="9" orientation="portrait" r:id="rId2"/>
  <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F1332-D437-45CC-BB06-1A127CA6D5DE}">
  <dimension ref="A1:R28"/>
  <sheetViews>
    <sheetView workbookViewId="0"/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1914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1913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1915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1916</v>
      </c>
      <c r="C16" s="53" t="s">
        <v>987</v>
      </c>
      <c r="D16" s="79">
        <v>10</v>
      </c>
      <c r="E16" s="56">
        <v>60</v>
      </c>
      <c r="F16" s="56">
        <f>D16*E16</f>
        <v>600</v>
      </c>
      <c r="G16" s="56">
        <f>F16*0</f>
        <v>0</v>
      </c>
      <c r="H16" s="125">
        <f>E16*1</f>
        <v>60</v>
      </c>
      <c r="I16" s="56">
        <f t="shared" ref="I16:I17" si="0">H16*D16</f>
        <v>600</v>
      </c>
      <c r="J16" s="83"/>
      <c r="N16" s="66"/>
    </row>
    <row r="17" spans="1:18" s="21" customFormat="1" ht="15.75" x14ac:dyDescent="0.25">
      <c r="A17" s="53">
        <v>2</v>
      </c>
      <c r="B17" s="78" t="s">
        <v>1917</v>
      </c>
      <c r="C17" s="53" t="s">
        <v>987</v>
      </c>
      <c r="D17" s="79">
        <v>6</v>
      </c>
      <c r="E17" s="56">
        <v>400</v>
      </c>
      <c r="F17" s="56">
        <f>D17*E17</f>
        <v>2400</v>
      </c>
      <c r="G17" s="56">
        <f>F17*0.17</f>
        <v>408.00000000000006</v>
      </c>
      <c r="H17" s="125">
        <f>E17*1.17</f>
        <v>468</v>
      </c>
      <c r="I17" s="56">
        <f t="shared" si="0"/>
        <v>2808</v>
      </c>
      <c r="J17" s="83"/>
      <c r="N17" s="66"/>
    </row>
    <row r="18" spans="1:18" s="21" customFormat="1" ht="15.75" x14ac:dyDescent="0.25">
      <c r="A18" s="53">
        <v>3</v>
      </c>
      <c r="B18" s="78" t="s">
        <v>1918</v>
      </c>
      <c r="C18" s="53" t="s">
        <v>987</v>
      </c>
      <c r="D18" s="79">
        <v>500</v>
      </c>
      <c r="E18" s="56">
        <v>7</v>
      </c>
      <c r="F18" s="56">
        <f>D18*E18</f>
        <v>3500</v>
      </c>
      <c r="G18" s="56">
        <f>F18*0</f>
        <v>0</v>
      </c>
      <c r="H18" s="125">
        <f>E18*1</f>
        <v>7</v>
      </c>
      <c r="I18" s="56">
        <f t="shared" ref="I18" si="1">H18*D18</f>
        <v>3500</v>
      </c>
      <c r="J18" s="83"/>
      <c r="N18" s="66"/>
    </row>
    <row r="19" spans="1:18" s="21" customFormat="1" x14ac:dyDescent="0.25">
      <c r="A19" s="53"/>
      <c r="B19" s="47"/>
      <c r="C19" s="53"/>
      <c r="D19" s="79"/>
      <c r="E19" s="56"/>
      <c r="F19" s="56"/>
      <c r="G19" s="56"/>
      <c r="H19" s="57"/>
      <c r="I19" s="56"/>
      <c r="J19" s="58"/>
      <c r="N19" s="66"/>
    </row>
    <row r="20" spans="1:18" ht="15.75" thickBot="1" x14ac:dyDescent="0.3">
      <c r="A20" s="33"/>
      <c r="B20" s="34" t="s">
        <v>24</v>
      </c>
      <c r="C20" s="35"/>
      <c r="D20" s="62">
        <f>SUM(D16:D19)</f>
        <v>516</v>
      </c>
      <c r="E20" s="35"/>
      <c r="F20" s="62">
        <f>SUM(F16:F19)</f>
        <v>6500</v>
      </c>
      <c r="G20" s="62">
        <f>SUM(G16:G19)</f>
        <v>408.00000000000006</v>
      </c>
      <c r="H20" s="35"/>
      <c r="I20" s="62">
        <f>SUM(I16:I19)</f>
        <v>6908</v>
      </c>
      <c r="J20" s="37"/>
    </row>
    <row r="21" spans="1:18" ht="15.75" thickTop="1" x14ac:dyDescent="0.25">
      <c r="A21" s="33"/>
      <c r="B21" s="34" t="s">
        <v>1919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/>
      <c r="O22" s="65"/>
      <c r="P22" s="64"/>
      <c r="Q22" s="64"/>
      <c r="R22" s="64"/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/>
    </row>
    <row r="24" spans="1:18" x14ac:dyDescent="0.25">
      <c r="B24" t="s">
        <v>634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E329DF63-E6E2-4DAF-83C2-DF6A17BCD7F6}"/>
  </hyperlinks>
  <pageMargins left="0.2" right="0.1" top="0.25" bottom="0.25" header="0.3" footer="0.3"/>
  <pageSetup paperSize="9" orientation="portrait" r:id="rId2"/>
  <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29ACB-E60A-4473-90B1-96D2196926EC}">
  <dimension ref="A1:R28"/>
  <sheetViews>
    <sheetView workbookViewId="0">
      <selection activeCell="C10" sqref="C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1783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1909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1910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1715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6" t="s">
        <v>1636</v>
      </c>
      <c r="M15" s="21" t="s">
        <v>738</v>
      </c>
    </row>
    <row r="16" spans="1:15" s="21" customFormat="1" x14ac:dyDescent="0.25">
      <c r="A16" s="53">
        <v>1</v>
      </c>
      <c r="B16" s="47" t="s">
        <v>1716</v>
      </c>
      <c r="C16" s="53" t="s">
        <v>1234</v>
      </c>
      <c r="D16" s="79">
        <v>19</v>
      </c>
      <c r="E16" s="82">
        <v>48</v>
      </c>
      <c r="F16" s="56">
        <f t="shared" ref="F16:F19" si="0">D16*E16</f>
        <v>912</v>
      </c>
      <c r="G16" s="56">
        <f t="shared" ref="G16:G19" si="1">F16*0.17</f>
        <v>155.04000000000002</v>
      </c>
      <c r="H16" s="57">
        <f t="shared" ref="H16:H19" si="2">E16*1.17</f>
        <v>56.16</v>
      </c>
      <c r="I16" s="56">
        <f t="shared" ref="I16:I19" si="3">H16*D16</f>
        <v>1067.04</v>
      </c>
      <c r="J16" s="131" t="s">
        <v>1719</v>
      </c>
      <c r="M16" s="21">
        <f t="shared" ref="M16:M19" si="4">440*1.02</f>
        <v>448.8</v>
      </c>
      <c r="N16" s="66" t="e">
        <f>M16-#REF!</f>
        <v>#REF!</v>
      </c>
      <c r="O16" s="21" t="e">
        <f t="shared" ref="O16:O19" si="5">N16*D16</f>
        <v>#REF!</v>
      </c>
    </row>
    <row r="17" spans="1:18" s="21" customFormat="1" x14ac:dyDescent="0.25">
      <c r="A17" s="53">
        <v>2</v>
      </c>
      <c r="B17" s="47" t="s">
        <v>1718</v>
      </c>
      <c r="C17" s="53" t="s">
        <v>1234</v>
      </c>
      <c r="D17" s="79">
        <v>19</v>
      </c>
      <c r="E17" s="82">
        <v>28</v>
      </c>
      <c r="F17" s="56">
        <f t="shared" si="0"/>
        <v>532</v>
      </c>
      <c r="G17" s="56">
        <f t="shared" si="1"/>
        <v>90.440000000000012</v>
      </c>
      <c r="H17" s="57">
        <f t="shared" si="2"/>
        <v>32.76</v>
      </c>
      <c r="I17" s="56">
        <f t="shared" si="3"/>
        <v>622.43999999999994</v>
      </c>
      <c r="J17" s="131" t="s">
        <v>1719</v>
      </c>
      <c r="M17" s="21">
        <f t="shared" si="4"/>
        <v>448.8</v>
      </c>
      <c r="N17" s="66" t="e">
        <f>M17-#REF!</f>
        <v>#REF!</v>
      </c>
      <c r="O17" s="21" t="e">
        <f t="shared" si="5"/>
        <v>#REF!</v>
      </c>
    </row>
    <row r="18" spans="1:18" s="21" customFormat="1" x14ac:dyDescent="0.25">
      <c r="A18" s="53">
        <v>3</v>
      </c>
      <c r="B18" s="47" t="s">
        <v>1717</v>
      </c>
      <c r="C18" s="53" t="s">
        <v>1234</v>
      </c>
      <c r="D18" s="79">
        <v>11</v>
      </c>
      <c r="E18" s="82">
        <v>58</v>
      </c>
      <c r="F18" s="56">
        <f t="shared" si="0"/>
        <v>638</v>
      </c>
      <c r="G18" s="56">
        <f t="shared" si="1"/>
        <v>108.46000000000001</v>
      </c>
      <c r="H18" s="57">
        <f t="shared" si="2"/>
        <v>67.86</v>
      </c>
      <c r="I18" s="56">
        <f t="shared" si="3"/>
        <v>746.46</v>
      </c>
      <c r="J18" s="131" t="s">
        <v>1719</v>
      </c>
      <c r="M18" s="21">
        <f t="shared" si="4"/>
        <v>448.8</v>
      </c>
      <c r="N18" s="66" t="e">
        <f>M18-#REF!</f>
        <v>#REF!</v>
      </c>
      <c r="O18" s="21" t="e">
        <f t="shared" si="5"/>
        <v>#REF!</v>
      </c>
    </row>
    <row r="19" spans="1:18" s="21" customFormat="1" x14ac:dyDescent="0.25">
      <c r="A19" s="53"/>
      <c r="B19" s="47"/>
      <c r="C19" s="82"/>
      <c r="D19" s="57"/>
      <c r="E19" s="56"/>
      <c r="F19" s="56">
        <f t="shared" si="0"/>
        <v>0</v>
      </c>
      <c r="G19" s="56">
        <f t="shared" si="1"/>
        <v>0</v>
      </c>
      <c r="H19" s="57">
        <f t="shared" si="2"/>
        <v>0</v>
      </c>
      <c r="I19" s="56">
        <f t="shared" si="3"/>
        <v>0</v>
      </c>
      <c r="J19" s="58"/>
      <c r="M19" s="21">
        <f t="shared" si="4"/>
        <v>448.8</v>
      </c>
      <c r="N19" s="66" t="e">
        <f>M19-#REF!</f>
        <v>#REF!</v>
      </c>
      <c r="O19" s="21" t="e">
        <f t="shared" si="5"/>
        <v>#REF!</v>
      </c>
    </row>
    <row r="20" spans="1:18" ht="15.75" thickBot="1" x14ac:dyDescent="0.3">
      <c r="A20" s="33"/>
      <c r="B20" s="34" t="s">
        <v>24</v>
      </c>
      <c r="C20" s="35"/>
      <c r="D20" s="62">
        <f>SUM(D16:D19)</f>
        <v>49</v>
      </c>
      <c r="E20" s="35"/>
      <c r="F20" s="62">
        <f>SUM(F16:F19)</f>
        <v>2082</v>
      </c>
      <c r="G20" s="62">
        <f>SUM(G16:G19)</f>
        <v>353.94000000000005</v>
      </c>
      <c r="H20" s="35"/>
      <c r="I20" s="62">
        <f>SUM(I16:I19)</f>
        <v>2435.94</v>
      </c>
      <c r="J20" s="37"/>
      <c r="M20" t="e">
        <f>#REF!/117*100</f>
        <v>#REF!</v>
      </c>
      <c r="O20" t="e">
        <f>M20*1.1</f>
        <v>#REF!</v>
      </c>
    </row>
    <row r="21" spans="1:18" ht="15.75" thickTop="1" x14ac:dyDescent="0.25">
      <c r="A21" s="33"/>
      <c r="B21" s="34" t="s">
        <v>1720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 t="e">
        <f>M20*#REF!</f>
        <v>#REF!</v>
      </c>
      <c r="O22" s="65" t="e">
        <f>#REF!</f>
        <v>#REF!</v>
      </c>
      <c r="P22" s="64" t="e">
        <f>O22-M22</f>
        <v>#REF!</v>
      </c>
      <c r="Q22" s="64" t="e">
        <f>#REF!*0.045</f>
        <v>#REF!</v>
      </c>
      <c r="R22" s="64" t="e">
        <f>P22-Q22</f>
        <v>#REF!</v>
      </c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 t="e">
        <f>#REF!-#REF!</f>
        <v>#REF!</v>
      </c>
    </row>
    <row r="24" spans="1:18" x14ac:dyDescent="0.25">
      <c r="B24" t="s">
        <v>27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0A37C9DE-8BD9-4512-B3BC-E557D37497B5}"/>
  </hyperlinks>
  <pageMargins left="0.2" right="0.1" top="0.25" bottom="0.25" header="0.3" footer="0.3"/>
  <pageSetup paperSize="9" orientation="portrait" r:id="rId2"/>
  <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EA2D6-B361-44FF-B569-ED14B1800642}">
  <dimension ref="A1:R28"/>
  <sheetViews>
    <sheetView workbookViewId="0">
      <selection activeCell="A6" sqref="A6:J6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1909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1910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1715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6" t="s">
        <v>1636</v>
      </c>
      <c r="M15" s="21" t="s">
        <v>738</v>
      </c>
    </row>
    <row r="16" spans="1:15" s="21" customFormat="1" x14ac:dyDescent="0.25">
      <c r="A16" s="53">
        <v>1</v>
      </c>
      <c r="B16" s="47" t="s">
        <v>1716</v>
      </c>
      <c r="C16" s="53" t="s">
        <v>1234</v>
      </c>
      <c r="D16" s="79">
        <v>19</v>
      </c>
      <c r="E16" s="82">
        <v>48</v>
      </c>
      <c r="F16" s="56">
        <f t="shared" ref="F16:F19" si="0">D16*E16</f>
        <v>912</v>
      </c>
      <c r="G16" s="56">
        <f>F16*0</f>
        <v>0</v>
      </c>
      <c r="H16" s="57">
        <f>E16*1</f>
        <v>48</v>
      </c>
      <c r="I16" s="56">
        <f t="shared" ref="I16:I19" si="1">H16*D16</f>
        <v>912</v>
      </c>
      <c r="J16" s="131" t="s">
        <v>1719</v>
      </c>
      <c r="M16" s="21">
        <f t="shared" ref="M16:M19" si="2">440*1.02</f>
        <v>448.8</v>
      </c>
      <c r="N16" s="66" t="e">
        <f>M16-#REF!</f>
        <v>#REF!</v>
      </c>
      <c r="O16" s="21" t="e">
        <f t="shared" ref="O16:O19" si="3">N16*D16</f>
        <v>#REF!</v>
      </c>
    </row>
    <row r="17" spans="1:18" s="21" customFormat="1" x14ac:dyDescent="0.25">
      <c r="A17" s="53">
        <v>2</v>
      </c>
      <c r="B17" s="47" t="s">
        <v>1718</v>
      </c>
      <c r="C17" s="53" t="s">
        <v>1234</v>
      </c>
      <c r="D17" s="79">
        <v>19</v>
      </c>
      <c r="E17" s="82">
        <v>28</v>
      </c>
      <c r="F17" s="56">
        <f t="shared" si="0"/>
        <v>532</v>
      </c>
      <c r="G17" s="56">
        <f>F17*0</f>
        <v>0</v>
      </c>
      <c r="H17" s="57">
        <f>E17*1</f>
        <v>28</v>
      </c>
      <c r="I17" s="56">
        <f t="shared" si="1"/>
        <v>532</v>
      </c>
      <c r="J17" s="131" t="s">
        <v>1719</v>
      </c>
      <c r="M17" s="21">
        <f t="shared" si="2"/>
        <v>448.8</v>
      </c>
      <c r="N17" s="66" t="e">
        <f>M17-#REF!</f>
        <v>#REF!</v>
      </c>
      <c r="O17" s="21" t="e">
        <f t="shared" si="3"/>
        <v>#REF!</v>
      </c>
    </row>
    <row r="18" spans="1:18" s="21" customFormat="1" x14ac:dyDescent="0.25">
      <c r="A18" s="53">
        <v>3</v>
      </c>
      <c r="B18" s="47" t="s">
        <v>1717</v>
      </c>
      <c r="C18" s="53" t="s">
        <v>1234</v>
      </c>
      <c r="D18" s="79">
        <v>11</v>
      </c>
      <c r="E18" s="82">
        <v>58</v>
      </c>
      <c r="F18" s="56">
        <f t="shared" si="0"/>
        <v>638</v>
      </c>
      <c r="G18" s="56">
        <f>F18*0</f>
        <v>0</v>
      </c>
      <c r="H18" s="57">
        <f>E18*1</f>
        <v>58</v>
      </c>
      <c r="I18" s="56">
        <f t="shared" si="1"/>
        <v>638</v>
      </c>
      <c r="J18" s="131" t="s">
        <v>1719</v>
      </c>
      <c r="M18" s="21">
        <f t="shared" si="2"/>
        <v>448.8</v>
      </c>
      <c r="N18" s="66" t="e">
        <f>M18-#REF!</f>
        <v>#REF!</v>
      </c>
      <c r="O18" s="21" t="e">
        <f t="shared" si="3"/>
        <v>#REF!</v>
      </c>
    </row>
    <row r="19" spans="1:18" s="21" customFormat="1" x14ac:dyDescent="0.25">
      <c r="A19" s="53"/>
      <c r="B19" s="47"/>
      <c r="C19" s="82"/>
      <c r="D19" s="57"/>
      <c r="E19" s="56"/>
      <c r="F19" s="56">
        <f t="shared" si="0"/>
        <v>0</v>
      </c>
      <c r="G19" s="56">
        <f t="shared" ref="G19" si="4">F19*0.17</f>
        <v>0</v>
      </c>
      <c r="H19" s="57">
        <f t="shared" ref="H19" si="5">E19*1.17</f>
        <v>0</v>
      </c>
      <c r="I19" s="56">
        <f t="shared" si="1"/>
        <v>0</v>
      </c>
      <c r="J19" s="58"/>
      <c r="M19" s="21">
        <f t="shared" si="2"/>
        <v>448.8</v>
      </c>
      <c r="N19" s="66" t="e">
        <f>M19-#REF!</f>
        <v>#REF!</v>
      </c>
      <c r="O19" s="21" t="e">
        <f t="shared" si="3"/>
        <v>#REF!</v>
      </c>
    </row>
    <row r="20" spans="1:18" ht="15.75" thickBot="1" x14ac:dyDescent="0.3">
      <c r="A20" s="33"/>
      <c r="B20" s="34" t="s">
        <v>24</v>
      </c>
      <c r="C20" s="35"/>
      <c r="D20" s="62">
        <f>SUM(D16:D19)</f>
        <v>49</v>
      </c>
      <c r="E20" s="35"/>
      <c r="F20" s="62">
        <f>SUM(F16:F19)</f>
        <v>2082</v>
      </c>
      <c r="G20" s="62">
        <f>SUM(G16:G19)</f>
        <v>0</v>
      </c>
      <c r="H20" s="35"/>
      <c r="I20" s="62">
        <f>SUM(I16:I19)</f>
        <v>2082</v>
      </c>
      <c r="J20" s="37"/>
      <c r="M20" t="e">
        <f>#REF!/117*100</f>
        <v>#REF!</v>
      </c>
      <c r="O20" t="e">
        <f>M20*1.1</f>
        <v>#REF!</v>
      </c>
    </row>
    <row r="21" spans="1:18" ht="15.75" thickTop="1" x14ac:dyDescent="0.25">
      <c r="A21" s="33"/>
      <c r="B21" s="34" t="s">
        <v>1911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 t="e">
        <f>M20*#REF!</f>
        <v>#REF!</v>
      </c>
      <c r="O22" s="65" t="e">
        <f>#REF!</f>
        <v>#REF!</v>
      </c>
      <c r="P22" s="64" t="e">
        <f>O22-M22</f>
        <v>#REF!</v>
      </c>
      <c r="Q22" s="64" t="e">
        <f>#REF!*0.045</f>
        <v>#REF!</v>
      </c>
      <c r="R22" s="64" t="e">
        <f>P22-Q22</f>
        <v>#REF!</v>
      </c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 t="e">
        <f>#REF!-#REF!</f>
        <v>#REF!</v>
      </c>
    </row>
    <row r="24" spans="1:18" x14ac:dyDescent="0.25">
      <c r="B24" t="s">
        <v>27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467EAB3A-27E5-4F71-BA8D-10D292F842E6}"/>
  </hyperlinks>
  <pageMargins left="0.2" right="0.1" top="0.25" bottom="0.25" header="0.3" footer="0.3"/>
  <pageSetup paperSize="9" orientation="portrait" r:id="rId2"/>
  <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475E7-3EEA-4C4E-BA27-B39B4A9F625F}">
  <dimension ref="A1:J27"/>
  <sheetViews>
    <sheetView workbookViewId="0">
      <selection activeCell="C12" sqref="C1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1906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1905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1907</v>
      </c>
      <c r="J9" s="188"/>
    </row>
    <row r="10" spans="1:10" x14ac:dyDescent="0.25">
      <c r="B10" t="s">
        <v>9</v>
      </c>
      <c r="C10" s="10" t="s">
        <v>127</v>
      </c>
      <c r="D10" s="10"/>
      <c r="E10" s="10"/>
      <c r="F10" s="10"/>
    </row>
    <row r="11" spans="1:10" x14ac:dyDescent="0.25">
      <c r="B11" t="s">
        <v>11</v>
      </c>
      <c r="C11" s="10" t="s">
        <v>255</v>
      </c>
      <c r="D11" s="11"/>
      <c r="E11" s="11"/>
      <c r="F11" s="11"/>
    </row>
    <row r="12" spans="1:10" x14ac:dyDescent="0.25">
      <c r="A12" s="12"/>
      <c r="B12" s="13"/>
      <c r="C12" s="14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256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1597</v>
      </c>
      <c r="C16" s="54" t="s">
        <v>23</v>
      </c>
      <c r="D16" s="72">
        <v>20000</v>
      </c>
      <c r="E16" s="85">
        <v>3.8</v>
      </c>
      <c r="F16" s="56">
        <f t="shared" ref="F16:F17" si="0">D16*E16</f>
        <v>76000</v>
      </c>
      <c r="G16" s="56">
        <f>F16*0.17</f>
        <v>12920.000000000002</v>
      </c>
      <c r="H16" s="130">
        <f>E16*1.17</f>
        <v>4.4459999999999997</v>
      </c>
      <c r="I16" s="56">
        <f t="shared" ref="I16:I17" si="1">H16*D16</f>
        <v>88920</v>
      </c>
      <c r="J16" s="58"/>
    </row>
    <row r="17" spans="1:10" s="21" customFormat="1" ht="30" x14ac:dyDescent="0.25">
      <c r="A17" s="53">
        <v>2</v>
      </c>
      <c r="B17" s="47" t="s">
        <v>1598</v>
      </c>
      <c r="C17" s="54" t="s">
        <v>23</v>
      </c>
      <c r="D17" s="72">
        <v>10000</v>
      </c>
      <c r="E17" s="85">
        <v>4</v>
      </c>
      <c r="F17" s="56">
        <f t="shared" si="0"/>
        <v>40000</v>
      </c>
      <c r="G17" s="56">
        <f>F17*0.17</f>
        <v>6800.0000000000009</v>
      </c>
      <c r="H17" s="130">
        <f>E17*1.17</f>
        <v>4.68</v>
      </c>
      <c r="I17" s="56">
        <f t="shared" si="1"/>
        <v>46800</v>
      </c>
      <c r="J17" s="58"/>
    </row>
    <row r="18" spans="1:10" s="21" customFormat="1" x14ac:dyDescent="0.25">
      <c r="A18" s="53"/>
      <c r="B18" s="47"/>
      <c r="C18" s="54"/>
      <c r="D18" s="72"/>
      <c r="E18" s="56"/>
      <c r="F18" s="56"/>
      <c r="G18" s="56"/>
      <c r="H18" s="84"/>
      <c r="I18" s="56"/>
      <c r="J18" s="58"/>
    </row>
    <row r="19" spans="1:10" ht="15.75" thickBot="1" x14ac:dyDescent="0.3">
      <c r="A19" s="33"/>
      <c r="B19" s="34" t="s">
        <v>24</v>
      </c>
      <c r="C19" s="35"/>
      <c r="D19" s="73">
        <f>SUM(D16:D17)</f>
        <v>30000</v>
      </c>
      <c r="E19" s="35"/>
      <c r="F19" s="73">
        <f>SUM(F16:F17)</f>
        <v>116000</v>
      </c>
      <c r="G19" s="73">
        <f>SUM(G16:G17)</f>
        <v>19720.000000000004</v>
      </c>
      <c r="H19" s="35"/>
      <c r="I19" s="73">
        <f>SUM(I16:I17)</f>
        <v>135720</v>
      </c>
      <c r="J19" s="37"/>
    </row>
    <row r="20" spans="1:10" ht="15.75" thickTop="1" x14ac:dyDescent="0.25">
      <c r="A20" s="33"/>
      <c r="B20" s="34" t="s">
        <v>1599</v>
      </c>
      <c r="C20" s="35"/>
      <c r="D20" s="35"/>
      <c r="E20" s="35"/>
      <c r="F20" s="35"/>
      <c r="G20" s="35"/>
      <c r="H20" s="35"/>
      <c r="I20" s="35"/>
      <c r="J20" s="37"/>
    </row>
    <row r="21" spans="1:10" x14ac:dyDescent="0.25">
      <c r="A21" s="33"/>
      <c r="B21" s="38" t="s">
        <v>25</v>
      </c>
      <c r="C21" s="35"/>
      <c r="D21" s="35"/>
      <c r="E21" s="35"/>
      <c r="F21" s="35"/>
      <c r="G21" s="35"/>
      <c r="H21" s="35"/>
      <c r="I21" s="35"/>
      <c r="J21" s="37"/>
    </row>
    <row r="22" spans="1:10" ht="30" customHeight="1" x14ac:dyDescent="0.25">
      <c r="B22" s="183" t="s">
        <v>26</v>
      </c>
      <c r="C22" s="183"/>
      <c r="D22" s="183"/>
      <c r="E22" s="183"/>
      <c r="F22" s="183"/>
      <c r="G22" s="183"/>
      <c r="H22" s="183"/>
      <c r="I22" s="183"/>
      <c r="J22" s="183"/>
    </row>
    <row r="23" spans="1:10" x14ac:dyDescent="0.25">
      <c r="B23" t="s">
        <v>634</v>
      </c>
    </row>
    <row r="26" spans="1:10" x14ac:dyDescent="0.25">
      <c r="B26" t="s">
        <v>28</v>
      </c>
      <c r="H26" t="s">
        <v>28</v>
      </c>
    </row>
    <row r="27" spans="1:10" x14ac:dyDescent="0.25">
      <c r="B27" t="s">
        <v>29</v>
      </c>
      <c r="H27" t="s">
        <v>30</v>
      </c>
    </row>
  </sheetData>
  <autoFilter ref="A15:J23" xr:uid="{00000000-0009-0000-0000-000000000000}"/>
  <mergeCells count="5">
    <mergeCell ref="A6:J6"/>
    <mergeCell ref="I7:J7"/>
    <mergeCell ref="I8:J8"/>
    <mergeCell ref="I9:J9"/>
    <mergeCell ref="B22:J22"/>
  </mergeCells>
  <hyperlinks>
    <hyperlink ref="H5" r:id="rId1" xr:uid="{07EDF0D5-278D-49D5-A924-58D8D32F1452}"/>
  </hyperlinks>
  <pageMargins left="0.2" right="0.1" top="0.25" bottom="0.25" header="0.3" footer="0.3"/>
  <pageSetup paperSize="9" orientation="portrait" r:id="rId2"/>
  <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8AD7C-5CF6-4280-96F4-E49D4F4AEE82}">
  <dimension ref="A1:R28"/>
  <sheetViews>
    <sheetView workbookViewId="0">
      <selection activeCell="B5" sqref="B5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5" x14ac:dyDescent="0.25">
      <c r="D1" s="1"/>
      <c r="E1" s="1"/>
      <c r="F1" s="1"/>
      <c r="H1" s="1" t="s">
        <v>0</v>
      </c>
    </row>
    <row r="2" spans="1:15" x14ac:dyDescent="0.25">
      <c r="D2" s="2"/>
      <c r="E2" s="2"/>
      <c r="F2" s="2"/>
      <c r="H2" s="2" t="s">
        <v>1</v>
      </c>
    </row>
    <row r="3" spans="1:15" x14ac:dyDescent="0.25">
      <c r="D3" s="2"/>
      <c r="E3" s="2"/>
      <c r="F3" s="2"/>
      <c r="H3" s="2" t="s">
        <v>2</v>
      </c>
    </row>
    <row r="4" spans="1:15" x14ac:dyDescent="0.25">
      <c r="D4" s="2"/>
      <c r="E4" s="2"/>
      <c r="F4" s="2"/>
      <c r="H4" s="2" t="s">
        <v>31</v>
      </c>
    </row>
    <row r="5" spans="1:15" ht="21" x14ac:dyDescent="0.35">
      <c r="B5" s="3"/>
      <c r="D5" s="4"/>
      <c r="E5" s="5"/>
      <c r="F5" s="5"/>
      <c r="H5" s="6" t="s">
        <v>32</v>
      </c>
    </row>
    <row r="6" spans="1:15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5" x14ac:dyDescent="0.25">
      <c r="A7" s="7" t="s">
        <v>1902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5" x14ac:dyDescent="0.25">
      <c r="A8" s="9" t="s">
        <v>1901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5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1903</v>
      </c>
      <c r="J9" s="188"/>
    </row>
    <row r="10" spans="1:15" x14ac:dyDescent="0.25">
      <c r="B10" t="s">
        <v>9</v>
      </c>
      <c r="C10" s="10" t="s">
        <v>1261</v>
      </c>
      <c r="D10" s="10"/>
      <c r="E10" s="10"/>
      <c r="F10" s="10"/>
    </row>
    <row r="11" spans="1:15" x14ac:dyDescent="0.25">
      <c r="B11" t="s">
        <v>11</v>
      </c>
      <c r="C11" s="10" t="s">
        <v>1262</v>
      </c>
      <c r="D11" s="11"/>
      <c r="E11" s="11"/>
      <c r="F11" s="11"/>
    </row>
    <row r="12" spans="1:15" x14ac:dyDescent="0.25">
      <c r="A12" s="12"/>
      <c r="B12" s="13"/>
      <c r="C12" s="14" t="s">
        <v>1263</v>
      </c>
      <c r="D12" s="15"/>
      <c r="E12" s="15"/>
      <c r="F12" s="15"/>
      <c r="G12" s="16"/>
      <c r="H12" s="16"/>
      <c r="I12" s="16"/>
    </row>
    <row r="13" spans="1:15" x14ac:dyDescent="0.25">
      <c r="A13" s="12"/>
      <c r="B13" s="13"/>
      <c r="C13" s="14" t="s">
        <v>1264</v>
      </c>
      <c r="D13" s="15"/>
      <c r="E13" s="15"/>
      <c r="F13" s="15"/>
      <c r="G13" s="16"/>
      <c r="H13" s="16"/>
      <c r="I13" s="16"/>
    </row>
    <row r="14" spans="1:15" ht="5.0999999999999996" customHeight="1" x14ac:dyDescent="0.25">
      <c r="C14" s="75"/>
    </row>
    <row r="15" spans="1:15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  <c r="M15" s="21" t="s">
        <v>738</v>
      </c>
    </row>
    <row r="16" spans="1:15" s="21" customFormat="1" x14ac:dyDescent="0.25">
      <c r="A16" s="53">
        <v>1</v>
      </c>
      <c r="B16" s="78" t="s">
        <v>1320</v>
      </c>
      <c r="C16" s="53" t="s">
        <v>1234</v>
      </c>
      <c r="D16" s="79">
        <v>14</v>
      </c>
      <c r="E16" s="82">
        <v>320</v>
      </c>
      <c r="F16" s="56">
        <f>D16*E16</f>
        <v>4480</v>
      </c>
      <c r="G16" s="56">
        <f>F16*0.17</f>
        <v>761.6</v>
      </c>
      <c r="H16" s="74">
        <f>E16*1.17</f>
        <v>374.4</v>
      </c>
      <c r="I16" s="56">
        <f>H16*D16</f>
        <v>5241.5999999999995</v>
      </c>
      <c r="J16" s="131" t="s">
        <v>1762</v>
      </c>
      <c r="M16" s="21">
        <f t="shared" ref="M16:M19" si="0">440*1.02</f>
        <v>448.8</v>
      </c>
      <c r="N16" s="66" t="e">
        <f>M16-#REF!</f>
        <v>#REF!</v>
      </c>
      <c r="O16" s="21" t="e">
        <f t="shared" ref="O16:O19" si="1">N16*D16</f>
        <v>#REF!</v>
      </c>
    </row>
    <row r="17" spans="1:18" s="21" customFormat="1" ht="25.5" x14ac:dyDescent="0.25">
      <c r="A17" s="53">
        <v>2</v>
      </c>
      <c r="B17" s="78" t="s">
        <v>1321</v>
      </c>
      <c r="C17" s="53" t="s">
        <v>1234</v>
      </c>
      <c r="D17" s="79">
        <v>26</v>
      </c>
      <c r="E17" s="82">
        <v>140</v>
      </c>
      <c r="F17" s="56">
        <f t="shared" ref="F17:F19" si="2">D17*E17</f>
        <v>3640</v>
      </c>
      <c r="G17" s="56">
        <f t="shared" ref="G17:G19" si="3">F17*0.17</f>
        <v>618.80000000000007</v>
      </c>
      <c r="H17" s="74">
        <f t="shared" ref="H17:H19" si="4">E17*1.17</f>
        <v>163.79999999999998</v>
      </c>
      <c r="I17" s="56">
        <f t="shared" ref="I17:I19" si="5">H17*D17</f>
        <v>4258.7999999999993</v>
      </c>
      <c r="J17" s="131" t="s">
        <v>1762</v>
      </c>
      <c r="N17" s="66"/>
    </row>
    <row r="18" spans="1:18" s="21" customFormat="1" x14ac:dyDescent="0.25">
      <c r="A18" s="53">
        <v>3</v>
      </c>
      <c r="B18" s="78" t="s">
        <v>1322</v>
      </c>
      <c r="C18" s="53" t="s">
        <v>1234</v>
      </c>
      <c r="D18" s="79">
        <v>10</v>
      </c>
      <c r="E18" s="82">
        <v>140</v>
      </c>
      <c r="F18" s="56">
        <f t="shared" si="2"/>
        <v>1400</v>
      </c>
      <c r="G18" s="56">
        <f t="shared" si="3"/>
        <v>238.00000000000003</v>
      </c>
      <c r="H18" s="74">
        <f t="shared" si="4"/>
        <v>163.79999999999998</v>
      </c>
      <c r="I18" s="56">
        <f t="shared" si="5"/>
        <v>1637.9999999999998</v>
      </c>
      <c r="J18" s="131" t="s">
        <v>1763</v>
      </c>
      <c r="N18" s="66"/>
    </row>
    <row r="19" spans="1:18" s="21" customFormat="1" x14ac:dyDescent="0.25">
      <c r="A19" s="53"/>
      <c r="B19" s="47"/>
      <c r="C19" s="82"/>
      <c r="D19" s="57"/>
      <c r="E19" s="56"/>
      <c r="F19" s="56">
        <f t="shared" si="2"/>
        <v>0</v>
      </c>
      <c r="G19" s="56">
        <f t="shared" si="3"/>
        <v>0</v>
      </c>
      <c r="H19" s="57">
        <f t="shared" si="4"/>
        <v>0</v>
      </c>
      <c r="I19" s="56">
        <f t="shared" si="5"/>
        <v>0</v>
      </c>
      <c r="J19" s="58"/>
      <c r="M19" s="21">
        <f t="shared" si="0"/>
        <v>448.8</v>
      </c>
      <c r="N19" s="66" t="e">
        <f>M19-#REF!</f>
        <v>#REF!</v>
      </c>
      <c r="O19" s="21" t="e">
        <f t="shared" si="1"/>
        <v>#REF!</v>
      </c>
    </row>
    <row r="20" spans="1:18" ht="15.75" thickBot="1" x14ac:dyDescent="0.3">
      <c r="A20" s="33"/>
      <c r="B20" s="34" t="s">
        <v>24</v>
      </c>
      <c r="C20" s="35"/>
      <c r="D20" s="62">
        <f>SUM(D16:D19)</f>
        <v>50</v>
      </c>
      <c r="E20" s="35"/>
      <c r="F20" s="62">
        <f>SUM(F16:F19)</f>
        <v>9520</v>
      </c>
      <c r="G20" s="62">
        <f>SUM(G16:G19)</f>
        <v>1618.4</v>
      </c>
      <c r="H20" s="35"/>
      <c r="I20" s="62">
        <f>SUM(I16:I19)</f>
        <v>11138.399999999998</v>
      </c>
      <c r="J20" s="37"/>
      <c r="M20" t="e">
        <f>#REF!/117*100</f>
        <v>#REF!</v>
      </c>
      <c r="O20" t="e">
        <f>M20*1.1</f>
        <v>#REF!</v>
      </c>
    </row>
    <row r="21" spans="1:18" ht="15.75" thickTop="1" x14ac:dyDescent="0.25">
      <c r="A21" s="33"/>
      <c r="B21" s="34" t="s">
        <v>1904</v>
      </c>
      <c r="C21" s="35"/>
      <c r="D21" s="35"/>
      <c r="E21" s="35"/>
      <c r="F21" s="35"/>
      <c r="G21" s="35"/>
      <c r="H21" s="35"/>
      <c r="I21" s="35"/>
      <c r="J21" s="37"/>
    </row>
    <row r="22" spans="1:18" x14ac:dyDescent="0.25">
      <c r="A22" s="33"/>
      <c r="B22" s="38" t="s">
        <v>25</v>
      </c>
      <c r="C22" s="35"/>
      <c r="D22" s="35"/>
      <c r="E22" s="35"/>
      <c r="F22" s="35"/>
      <c r="G22" s="35"/>
      <c r="H22" s="35"/>
      <c r="I22" s="35"/>
      <c r="J22" s="37"/>
      <c r="M22" s="64" t="e">
        <f>M20*#REF!</f>
        <v>#REF!</v>
      </c>
      <c r="O22" s="65" t="e">
        <f>#REF!</f>
        <v>#REF!</v>
      </c>
      <c r="P22" s="64" t="e">
        <f>O22-M22</f>
        <v>#REF!</v>
      </c>
      <c r="Q22" s="64" t="e">
        <f>#REF!*0.045</f>
        <v>#REF!</v>
      </c>
      <c r="R22" s="64" t="e">
        <f>P22-Q22</f>
        <v>#REF!</v>
      </c>
    </row>
    <row r="23" spans="1:18" ht="30" customHeight="1" x14ac:dyDescent="0.25">
      <c r="B23" s="183" t="s">
        <v>26</v>
      </c>
      <c r="C23" s="183"/>
      <c r="D23" s="183"/>
      <c r="E23" s="183"/>
      <c r="F23" s="183"/>
      <c r="G23" s="183"/>
      <c r="H23" s="183"/>
      <c r="I23" s="183"/>
      <c r="J23" s="183"/>
      <c r="P23" s="64"/>
      <c r="R23" s="65" t="e">
        <f>#REF!-#REF!</f>
        <v>#REF!</v>
      </c>
    </row>
    <row r="24" spans="1:18" x14ac:dyDescent="0.25">
      <c r="B24" t="s">
        <v>634</v>
      </c>
    </row>
    <row r="27" spans="1:18" x14ac:dyDescent="0.25">
      <c r="B27" t="s">
        <v>28</v>
      </c>
      <c r="H27" t="s">
        <v>28</v>
      </c>
    </row>
    <row r="28" spans="1:18" x14ac:dyDescent="0.25">
      <c r="B28" t="s">
        <v>29</v>
      </c>
      <c r="H28" t="s">
        <v>30</v>
      </c>
    </row>
  </sheetData>
  <autoFilter ref="A15:J24" xr:uid="{00000000-0009-0000-0000-000000000000}"/>
  <mergeCells count="5">
    <mergeCell ref="A6:J6"/>
    <mergeCell ref="I7:J7"/>
    <mergeCell ref="I8:J8"/>
    <mergeCell ref="I9:J9"/>
    <mergeCell ref="B23:J23"/>
  </mergeCells>
  <hyperlinks>
    <hyperlink ref="H5" r:id="rId1" xr:uid="{67F6C606-3734-4B5A-BA36-EB0D21992AF4}"/>
  </hyperlinks>
  <pageMargins left="0.2" right="0.1" top="0.25" bottom="0.2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DEEF0-DF65-421E-ADEC-A04CFA4A03B9}">
  <dimension ref="A1:R26"/>
  <sheetViews>
    <sheetView workbookViewId="0">
      <selection activeCell="B3" sqref="B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2312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2313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2314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2315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4" x14ac:dyDescent="0.25">
      <c r="B10" t="s">
        <v>9</v>
      </c>
      <c r="C10" s="139" t="s">
        <v>2316</v>
      </c>
      <c r="D10" s="10"/>
      <c r="E10" s="10"/>
      <c r="F10" s="10"/>
    </row>
    <row r="11" spans="1:14" x14ac:dyDescent="0.25">
      <c r="B11" t="s">
        <v>11</v>
      </c>
      <c r="C11" s="132" t="s">
        <v>2317</v>
      </c>
      <c r="D11" s="11"/>
      <c r="E11" s="11"/>
      <c r="F11" s="11"/>
    </row>
    <row r="12" spans="1:14" x14ac:dyDescent="0.25">
      <c r="A12" s="12"/>
      <c r="B12" s="13"/>
      <c r="C12" s="140"/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1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189" t="s">
        <v>14</v>
      </c>
      <c r="C15" s="189"/>
      <c r="D15" s="76" t="s">
        <v>15</v>
      </c>
      <c r="E15" s="76" t="s">
        <v>16</v>
      </c>
      <c r="F15" s="76" t="s">
        <v>18</v>
      </c>
      <c r="G15" s="76" t="s">
        <v>1083</v>
      </c>
      <c r="H15" s="76" t="s">
        <v>21</v>
      </c>
      <c r="I15" s="190" t="s">
        <v>22</v>
      </c>
      <c r="J15" s="191"/>
    </row>
    <row r="16" spans="1:14" s="21" customFormat="1" ht="15.75" customHeight="1" x14ac:dyDescent="0.25">
      <c r="A16" s="53">
        <v>1</v>
      </c>
      <c r="B16" s="180" t="s">
        <v>2318</v>
      </c>
      <c r="C16" s="180"/>
      <c r="D16" s="53" t="s">
        <v>23</v>
      </c>
      <c r="E16" s="79">
        <v>541</v>
      </c>
      <c r="F16" s="56">
        <v>19595</v>
      </c>
      <c r="G16" s="149">
        <v>3164</v>
      </c>
      <c r="H16" s="56">
        <f>E16+F16</f>
        <v>20136</v>
      </c>
      <c r="I16" s="178"/>
      <c r="J16" s="179"/>
      <c r="N16" s="66"/>
    </row>
    <row r="17" spans="1:18" s="21" customFormat="1" ht="15.75" customHeight="1" x14ac:dyDescent="0.25">
      <c r="A17" s="53"/>
      <c r="B17" s="181"/>
      <c r="C17" s="182"/>
      <c r="D17" s="79"/>
      <c r="E17" s="56"/>
      <c r="F17" s="56"/>
      <c r="G17" s="149"/>
      <c r="H17" s="85"/>
      <c r="I17" s="178"/>
      <c r="J17" s="179"/>
      <c r="N17" s="66"/>
    </row>
    <row r="18" spans="1:18" ht="15.75" thickBot="1" x14ac:dyDescent="0.3">
      <c r="A18" s="33"/>
      <c r="B18" s="34" t="s">
        <v>24</v>
      </c>
      <c r="C18" s="35"/>
      <c r="E18" s="62">
        <f>SUM(E16:E17)</f>
        <v>541</v>
      </c>
      <c r="F18" s="62">
        <f>SUM(F16:F17)</f>
        <v>19595</v>
      </c>
      <c r="G18" s="62">
        <f>SUM(G16:G17)</f>
        <v>3164</v>
      </c>
      <c r="H18" s="62">
        <f>SUM(H16:H17)</f>
        <v>20136</v>
      </c>
      <c r="J18" s="37"/>
    </row>
    <row r="19" spans="1:18" ht="15.75" thickTop="1" x14ac:dyDescent="0.25">
      <c r="A19" s="33"/>
      <c r="B19" s="34" t="s">
        <v>2319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11">
    <mergeCell ref="A6:J6"/>
    <mergeCell ref="I7:J7"/>
    <mergeCell ref="I8:J8"/>
    <mergeCell ref="I9:J9"/>
    <mergeCell ref="B21:J21"/>
    <mergeCell ref="B15:C15"/>
    <mergeCell ref="B16:C16"/>
    <mergeCell ref="B17:C17"/>
    <mergeCell ref="I15:J15"/>
    <mergeCell ref="I16:J16"/>
    <mergeCell ref="I17:J17"/>
  </mergeCells>
  <hyperlinks>
    <hyperlink ref="H5" r:id="rId1" xr:uid="{ACFE617F-9DED-40DF-9169-1FA39B770964}"/>
  </hyperlinks>
  <pageMargins left="0.2" right="0.1" top="0.25" bottom="0.25" header="0.3" footer="0.3"/>
  <pageSetup paperSize="9" orientation="portrait" r:id="rId2"/>
  <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2C7BB-5CB3-4F3F-992E-97B9F7662539}">
  <dimension ref="A1:J38"/>
  <sheetViews>
    <sheetView workbookViewId="0">
      <selection activeCell="F8" sqref="F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1882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1881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1899</v>
      </c>
      <c r="J9" s="188"/>
    </row>
    <row r="10" spans="1:10" x14ac:dyDescent="0.25">
      <c r="B10" t="s">
        <v>9</v>
      </c>
      <c r="C10" s="10" t="s">
        <v>1883</v>
      </c>
      <c r="D10" s="10"/>
      <c r="E10" s="10"/>
      <c r="F10" s="10"/>
    </row>
    <row r="11" spans="1:10" x14ac:dyDescent="0.25">
      <c r="B11" t="s">
        <v>11</v>
      </c>
      <c r="C11" s="10" t="s">
        <v>1884</v>
      </c>
      <c r="D11" s="11"/>
      <c r="E11" s="11"/>
      <c r="F11" s="11"/>
    </row>
    <row r="12" spans="1:10" x14ac:dyDescent="0.25">
      <c r="A12" s="12"/>
      <c r="B12" s="13"/>
      <c r="C12" s="14" t="s">
        <v>1885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1886</v>
      </c>
      <c r="D13" s="15"/>
      <c r="E13" s="15"/>
      <c r="F13" s="15"/>
      <c r="G13" s="16"/>
      <c r="H13" s="16"/>
      <c r="I13" s="16"/>
    </row>
    <row r="14" spans="1:10" ht="5.0999999999999996" customHeight="1" x14ac:dyDescent="0.25">
      <c r="C14" s="75"/>
    </row>
    <row r="15" spans="1:10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0" s="21" customFormat="1" x14ac:dyDescent="0.25">
      <c r="A16" s="53">
        <v>1</v>
      </c>
      <c r="B16" s="78" t="s">
        <v>1887</v>
      </c>
      <c r="C16" s="53" t="s">
        <v>23</v>
      </c>
      <c r="D16" s="79">
        <v>200</v>
      </c>
      <c r="E16" s="56">
        <v>7.5</v>
      </c>
      <c r="F16" s="56">
        <f t="shared" ref="F16:F29" si="0">D16*E16</f>
        <v>1500</v>
      </c>
      <c r="G16" s="56">
        <f>F16*0</f>
        <v>0</v>
      </c>
      <c r="H16" s="129">
        <f>E16*1</f>
        <v>7.5</v>
      </c>
      <c r="I16" s="56">
        <f t="shared" ref="I16:I29" si="1">H16*D16</f>
        <v>1500</v>
      </c>
      <c r="J16" s="58" t="s">
        <v>1921</v>
      </c>
    </row>
    <row r="17" spans="1:10" s="21" customFormat="1" x14ac:dyDescent="0.25">
      <c r="A17" s="53">
        <f>A16+1</f>
        <v>2</v>
      </c>
      <c r="B17" s="78" t="s">
        <v>1888</v>
      </c>
      <c r="C17" s="53" t="s">
        <v>23</v>
      </c>
      <c r="D17" s="79">
        <v>24</v>
      </c>
      <c r="E17" s="56">
        <v>90</v>
      </c>
      <c r="F17" s="56">
        <f t="shared" si="0"/>
        <v>2160</v>
      </c>
      <c r="G17" s="56">
        <f t="shared" ref="G17:G29" si="2">F17*0.17</f>
        <v>367.20000000000005</v>
      </c>
      <c r="H17" s="129">
        <f t="shared" ref="H17:H29" si="3">E17*1.17</f>
        <v>105.3</v>
      </c>
      <c r="I17" s="56">
        <f t="shared" si="1"/>
        <v>2527.1999999999998</v>
      </c>
      <c r="J17" s="58" t="s">
        <v>1922</v>
      </c>
    </row>
    <row r="18" spans="1:10" s="21" customFormat="1" x14ac:dyDescent="0.25">
      <c r="A18" s="53">
        <f t="shared" ref="A18:A28" si="4">A17+1</f>
        <v>3</v>
      </c>
      <c r="B18" s="78" t="s">
        <v>1889</v>
      </c>
      <c r="C18" s="53" t="s">
        <v>23</v>
      </c>
      <c r="D18" s="79">
        <v>100</v>
      </c>
      <c r="E18" s="56">
        <v>18</v>
      </c>
      <c r="F18" s="56">
        <f t="shared" si="0"/>
        <v>1800</v>
      </c>
      <c r="G18" s="56">
        <f t="shared" si="2"/>
        <v>306</v>
      </c>
      <c r="H18" s="129">
        <f t="shared" si="3"/>
        <v>21.06</v>
      </c>
      <c r="I18" s="56">
        <f t="shared" si="1"/>
        <v>2106</v>
      </c>
      <c r="J18" s="58" t="s">
        <v>1922</v>
      </c>
    </row>
    <row r="19" spans="1:10" s="21" customFormat="1" x14ac:dyDescent="0.25">
      <c r="A19" s="53">
        <f t="shared" si="4"/>
        <v>4</v>
      </c>
      <c r="B19" s="78" t="s">
        <v>377</v>
      </c>
      <c r="C19" s="53" t="s">
        <v>23</v>
      </c>
      <c r="D19" s="79">
        <v>100</v>
      </c>
      <c r="E19" s="56">
        <v>88</v>
      </c>
      <c r="F19" s="56">
        <f t="shared" si="0"/>
        <v>8800</v>
      </c>
      <c r="G19" s="56">
        <f t="shared" si="2"/>
        <v>1496</v>
      </c>
      <c r="H19" s="129">
        <f t="shared" si="3"/>
        <v>102.96</v>
      </c>
      <c r="I19" s="56">
        <f t="shared" si="1"/>
        <v>10296</v>
      </c>
      <c r="J19" s="58" t="s">
        <v>1922</v>
      </c>
    </row>
    <row r="20" spans="1:10" s="21" customFormat="1" x14ac:dyDescent="0.25">
      <c r="A20" s="53">
        <f t="shared" si="4"/>
        <v>5</v>
      </c>
      <c r="B20" s="78" t="s">
        <v>1890</v>
      </c>
      <c r="C20" s="53" t="s">
        <v>23</v>
      </c>
      <c r="D20" s="79">
        <v>24</v>
      </c>
      <c r="E20" s="56">
        <v>125</v>
      </c>
      <c r="F20" s="56">
        <f t="shared" ref="F20:F22" si="5">D20*E20</f>
        <v>3000</v>
      </c>
      <c r="G20" s="56">
        <f t="shared" ref="G20:G22" si="6">F20*0.17</f>
        <v>510.00000000000006</v>
      </c>
      <c r="H20" s="129">
        <f t="shared" ref="H20:H22" si="7">E20*1.17</f>
        <v>146.25</v>
      </c>
      <c r="I20" s="56">
        <f t="shared" ref="I20:I22" si="8">H20*D20</f>
        <v>3510</v>
      </c>
      <c r="J20" s="58" t="s">
        <v>1923</v>
      </c>
    </row>
    <row r="21" spans="1:10" s="21" customFormat="1" x14ac:dyDescent="0.25">
      <c r="A21" s="53">
        <f t="shared" si="4"/>
        <v>6</v>
      </c>
      <c r="B21" s="78" t="s">
        <v>1891</v>
      </c>
      <c r="C21" s="53" t="s">
        <v>23</v>
      </c>
      <c r="D21" s="79">
        <v>200</v>
      </c>
      <c r="E21" s="56">
        <v>3.5</v>
      </c>
      <c r="F21" s="56">
        <f t="shared" si="5"/>
        <v>700</v>
      </c>
      <c r="G21" s="56">
        <f t="shared" si="6"/>
        <v>119.00000000000001</v>
      </c>
      <c r="H21" s="129">
        <f t="shared" si="7"/>
        <v>4.0949999999999998</v>
      </c>
      <c r="I21" s="56">
        <f t="shared" si="8"/>
        <v>819</v>
      </c>
      <c r="J21" s="58" t="s">
        <v>1922</v>
      </c>
    </row>
    <row r="22" spans="1:10" s="21" customFormat="1" x14ac:dyDescent="0.25">
      <c r="A22" s="53">
        <f t="shared" si="4"/>
        <v>7</v>
      </c>
      <c r="B22" s="78" t="s">
        <v>1892</v>
      </c>
      <c r="C22" s="53" t="s">
        <v>76</v>
      </c>
      <c r="D22" s="79">
        <v>6</v>
      </c>
      <c r="E22" s="56">
        <v>20</v>
      </c>
      <c r="F22" s="56">
        <f t="shared" si="5"/>
        <v>120</v>
      </c>
      <c r="G22" s="56">
        <f t="shared" si="6"/>
        <v>20.400000000000002</v>
      </c>
      <c r="H22" s="129">
        <f t="shared" si="7"/>
        <v>23.4</v>
      </c>
      <c r="I22" s="56">
        <f t="shared" si="8"/>
        <v>140.39999999999998</v>
      </c>
      <c r="J22" s="58" t="s">
        <v>1760</v>
      </c>
    </row>
    <row r="23" spans="1:10" s="21" customFormat="1" x14ac:dyDescent="0.25">
      <c r="A23" s="53">
        <f t="shared" si="4"/>
        <v>8</v>
      </c>
      <c r="B23" s="78" t="s">
        <v>1893</v>
      </c>
      <c r="C23" s="53" t="s">
        <v>23</v>
      </c>
      <c r="D23" s="79">
        <v>1</v>
      </c>
      <c r="E23" s="56">
        <v>170</v>
      </c>
      <c r="F23" s="56">
        <f t="shared" ref="F23:F25" si="9">D23*E23</f>
        <v>170</v>
      </c>
      <c r="G23" s="56">
        <f t="shared" ref="G23:G25" si="10">F23*0.17</f>
        <v>28.900000000000002</v>
      </c>
      <c r="H23" s="129">
        <f t="shared" ref="H23:H25" si="11">E23*1.17</f>
        <v>198.89999999999998</v>
      </c>
      <c r="I23" s="56">
        <f t="shared" ref="I23:I25" si="12">H23*D23</f>
        <v>198.89999999999998</v>
      </c>
      <c r="J23" s="58" t="s">
        <v>1760</v>
      </c>
    </row>
    <row r="24" spans="1:10" s="21" customFormat="1" x14ac:dyDescent="0.25">
      <c r="A24" s="53">
        <f t="shared" si="4"/>
        <v>9</v>
      </c>
      <c r="B24" s="78" t="s">
        <v>1894</v>
      </c>
      <c r="C24" s="53" t="s">
        <v>23</v>
      </c>
      <c r="D24" s="79">
        <v>50</v>
      </c>
      <c r="E24" s="56">
        <v>5</v>
      </c>
      <c r="F24" s="56">
        <f t="shared" si="9"/>
        <v>250</v>
      </c>
      <c r="G24" s="56">
        <f t="shared" si="10"/>
        <v>42.5</v>
      </c>
      <c r="H24" s="129">
        <f t="shared" si="11"/>
        <v>5.85</v>
      </c>
      <c r="I24" s="56">
        <f t="shared" si="12"/>
        <v>292.5</v>
      </c>
      <c r="J24" s="58" t="s">
        <v>1922</v>
      </c>
    </row>
    <row r="25" spans="1:10" s="21" customFormat="1" x14ac:dyDescent="0.25">
      <c r="A25" s="53">
        <f t="shared" si="4"/>
        <v>10</v>
      </c>
      <c r="B25" s="78" t="s">
        <v>1895</v>
      </c>
      <c r="C25" s="53" t="s">
        <v>23</v>
      </c>
      <c r="D25" s="79">
        <v>50</v>
      </c>
      <c r="E25" s="56">
        <v>1.8</v>
      </c>
      <c r="F25" s="56">
        <f t="shared" si="9"/>
        <v>90</v>
      </c>
      <c r="G25" s="56">
        <f t="shared" si="10"/>
        <v>15.3</v>
      </c>
      <c r="H25" s="129">
        <f t="shared" si="11"/>
        <v>2.1059999999999999</v>
      </c>
      <c r="I25" s="56">
        <f t="shared" si="12"/>
        <v>105.3</v>
      </c>
      <c r="J25" s="58" t="s">
        <v>1922</v>
      </c>
    </row>
    <row r="26" spans="1:10" s="21" customFormat="1" ht="25.5" x14ac:dyDescent="0.25">
      <c r="A26" s="53">
        <f t="shared" si="4"/>
        <v>11</v>
      </c>
      <c r="B26" s="78" t="s">
        <v>948</v>
      </c>
      <c r="C26" s="53" t="s">
        <v>23</v>
      </c>
      <c r="D26" s="79">
        <v>24</v>
      </c>
      <c r="E26" s="56">
        <v>24.5</v>
      </c>
      <c r="F26" s="56">
        <f t="shared" si="0"/>
        <v>588</v>
      </c>
      <c r="G26" s="56">
        <f>F26*0</f>
        <v>0</v>
      </c>
      <c r="H26" s="129">
        <f>E26*1</f>
        <v>24.5</v>
      </c>
      <c r="I26" s="56">
        <f t="shared" si="1"/>
        <v>588</v>
      </c>
      <c r="J26" s="58" t="s">
        <v>1921</v>
      </c>
    </row>
    <row r="27" spans="1:10" s="21" customFormat="1" ht="25.5" x14ac:dyDescent="0.25">
      <c r="A27" s="53">
        <f t="shared" si="4"/>
        <v>12</v>
      </c>
      <c r="B27" s="78" t="s">
        <v>1896</v>
      </c>
      <c r="C27" s="53" t="s">
        <v>23</v>
      </c>
      <c r="D27" s="79">
        <v>12</v>
      </c>
      <c r="E27" s="56">
        <v>32</v>
      </c>
      <c r="F27" s="56">
        <f t="shared" si="0"/>
        <v>384</v>
      </c>
      <c r="G27" s="56">
        <f>F27*0</f>
        <v>0</v>
      </c>
      <c r="H27" s="129">
        <f>E27*1</f>
        <v>32</v>
      </c>
      <c r="I27" s="56">
        <f t="shared" si="1"/>
        <v>384</v>
      </c>
      <c r="J27" s="58" t="s">
        <v>1921</v>
      </c>
    </row>
    <row r="28" spans="1:10" s="21" customFormat="1" x14ac:dyDescent="0.25">
      <c r="A28" s="53">
        <f t="shared" si="4"/>
        <v>13</v>
      </c>
      <c r="B28" s="78" t="s">
        <v>1897</v>
      </c>
      <c r="C28" s="53" t="s">
        <v>269</v>
      </c>
      <c r="D28" s="79">
        <v>25</v>
      </c>
      <c r="E28" s="56">
        <v>540</v>
      </c>
      <c r="F28" s="56">
        <f t="shared" si="0"/>
        <v>13500</v>
      </c>
      <c r="G28" s="56">
        <f t="shared" si="2"/>
        <v>2295</v>
      </c>
      <c r="H28" s="129">
        <f t="shared" si="3"/>
        <v>631.79999999999995</v>
      </c>
      <c r="I28" s="56">
        <f t="shared" si="1"/>
        <v>15794.999999999998</v>
      </c>
      <c r="J28" s="58" t="s">
        <v>1922</v>
      </c>
    </row>
    <row r="29" spans="1:10" s="21" customFormat="1" x14ac:dyDescent="0.25">
      <c r="A29" s="53"/>
      <c r="B29" s="47"/>
      <c r="C29" s="82"/>
      <c r="D29" s="57"/>
      <c r="E29" s="56"/>
      <c r="F29" s="56">
        <f t="shared" si="0"/>
        <v>0</v>
      </c>
      <c r="G29" s="56">
        <f t="shared" si="2"/>
        <v>0</v>
      </c>
      <c r="H29" s="129">
        <f t="shared" si="3"/>
        <v>0</v>
      </c>
      <c r="I29" s="56">
        <f t="shared" si="1"/>
        <v>0</v>
      </c>
      <c r="J29" s="58"/>
    </row>
    <row r="30" spans="1:10" ht="15.75" thickBot="1" x14ac:dyDescent="0.3">
      <c r="A30" s="33"/>
      <c r="B30" s="34" t="s">
        <v>24</v>
      </c>
      <c r="C30" s="35"/>
      <c r="D30" s="62">
        <f>SUM(D16:D29)</f>
        <v>816</v>
      </c>
      <c r="E30" s="35"/>
      <c r="F30" s="62">
        <f>SUM(F16:F29)</f>
        <v>33062</v>
      </c>
      <c r="G30" s="62">
        <f>SUM(G16:G29)</f>
        <v>5200.3</v>
      </c>
      <c r="H30" s="35"/>
      <c r="I30" s="62">
        <f>SUM(I16:I29)</f>
        <v>38262.300000000003</v>
      </c>
      <c r="J30" s="37"/>
    </row>
    <row r="31" spans="1:10" ht="15.75" thickTop="1" x14ac:dyDescent="0.25">
      <c r="A31" s="33"/>
      <c r="B31" s="34" t="s">
        <v>1898</v>
      </c>
      <c r="C31" s="35"/>
      <c r="D31" s="35"/>
      <c r="E31" s="35"/>
      <c r="F31" s="35"/>
      <c r="G31" s="35"/>
      <c r="H31" s="35"/>
      <c r="I31" s="35"/>
      <c r="J31" s="37"/>
    </row>
    <row r="32" spans="1:10" x14ac:dyDescent="0.25">
      <c r="A32" s="33"/>
      <c r="B32" s="38" t="s">
        <v>25</v>
      </c>
      <c r="C32" s="35"/>
      <c r="D32" s="35"/>
      <c r="E32" s="35"/>
      <c r="F32" s="35"/>
      <c r="G32" s="35"/>
      <c r="H32" s="35"/>
      <c r="I32" s="35"/>
      <c r="J32" s="37"/>
    </row>
    <row r="33" spans="2:10" ht="30" customHeight="1" x14ac:dyDescent="0.25">
      <c r="B33" s="183" t="s">
        <v>26</v>
      </c>
      <c r="C33" s="183"/>
      <c r="D33" s="183"/>
      <c r="E33" s="183"/>
      <c r="F33" s="183"/>
      <c r="G33" s="183"/>
      <c r="H33" s="183"/>
      <c r="I33" s="183"/>
      <c r="J33" s="183"/>
    </row>
    <row r="34" spans="2:10" x14ac:dyDescent="0.25">
      <c r="B34" t="s">
        <v>634</v>
      </c>
    </row>
    <row r="37" spans="2:10" x14ac:dyDescent="0.25">
      <c r="B37" t="s">
        <v>28</v>
      </c>
      <c r="H37" t="s">
        <v>28</v>
      </c>
    </row>
    <row r="38" spans="2:10" x14ac:dyDescent="0.25">
      <c r="B38" t="s">
        <v>29</v>
      </c>
      <c r="H38" t="s">
        <v>30</v>
      </c>
    </row>
  </sheetData>
  <autoFilter ref="A15:J34" xr:uid="{00000000-0009-0000-0000-000000000000}"/>
  <mergeCells count="5">
    <mergeCell ref="A6:J6"/>
    <mergeCell ref="I7:J7"/>
    <mergeCell ref="I8:J8"/>
    <mergeCell ref="I9:J9"/>
    <mergeCell ref="B33:J33"/>
  </mergeCells>
  <hyperlinks>
    <hyperlink ref="H5" r:id="rId1" xr:uid="{6AA09C4A-4465-480C-BA4A-FE7DD14D9774}"/>
  </hyperlinks>
  <pageMargins left="0.2" right="0.1" top="0.25" bottom="0.25" header="0.3" footer="0.3"/>
  <pageSetup paperSize="9" orientation="portrait" r:id="rId2"/>
  <drawing r:id="rId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96256-F4C4-4F2E-A387-320272AB7DA8}">
  <dimension ref="A1:J26"/>
  <sheetViews>
    <sheetView workbookViewId="0">
      <selection activeCell="C10" sqref="C10:F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1879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1880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1414</v>
      </c>
      <c r="D10" s="10"/>
      <c r="E10" s="10"/>
      <c r="F10" s="10"/>
    </row>
    <row r="11" spans="1:10" x14ac:dyDescent="0.25">
      <c r="B11" t="s">
        <v>11</v>
      </c>
      <c r="C11" s="10" t="s">
        <v>52</v>
      </c>
      <c r="D11" s="11"/>
      <c r="E11" s="11"/>
      <c r="F11" s="11"/>
    </row>
    <row r="12" spans="1:10" x14ac:dyDescent="0.25">
      <c r="A12" s="12"/>
      <c r="B12" s="13"/>
      <c r="C12" s="14"/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1912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1753</v>
      </c>
      <c r="C16" s="54" t="s">
        <v>23</v>
      </c>
      <c r="D16" s="72">
        <v>500</v>
      </c>
      <c r="E16" s="56">
        <v>24</v>
      </c>
      <c r="F16" s="56">
        <f t="shared" ref="F16:F17" si="0">D16*E16</f>
        <v>12000</v>
      </c>
      <c r="G16" s="56">
        <f t="shared" ref="G16:G17" si="1">F16*0.17</f>
        <v>2040.0000000000002</v>
      </c>
      <c r="H16" s="84">
        <f t="shared" ref="H16:H17" si="2">E16*1.17</f>
        <v>28.08</v>
      </c>
      <c r="I16" s="56">
        <f t="shared" ref="I16:I17" si="3">H16*D16</f>
        <v>14040</v>
      </c>
      <c r="J16" s="58"/>
    </row>
    <row r="17" spans="1:10" s="21" customFormat="1" x14ac:dyDescent="0.25">
      <c r="A17" s="53"/>
      <c r="B17" s="47"/>
      <c r="C17" s="54"/>
      <c r="D17" s="72"/>
      <c r="E17" s="56"/>
      <c r="F17" s="56">
        <f t="shared" si="0"/>
        <v>0</v>
      </c>
      <c r="G17" s="56">
        <f t="shared" si="1"/>
        <v>0</v>
      </c>
      <c r="H17" s="84">
        <f t="shared" si="2"/>
        <v>0</v>
      </c>
      <c r="I17" s="56">
        <f t="shared" si="3"/>
        <v>0</v>
      </c>
      <c r="J17" s="58"/>
    </row>
    <row r="18" spans="1:10" ht="15.75" thickBot="1" x14ac:dyDescent="0.3">
      <c r="A18" s="33"/>
      <c r="B18" s="34" t="s">
        <v>24</v>
      </c>
      <c r="C18" s="35"/>
      <c r="D18" s="62">
        <f>SUM(D16:D16)</f>
        <v>500</v>
      </c>
      <c r="E18" s="35"/>
      <c r="F18" s="62">
        <f>SUM(F16:F16)</f>
        <v>12000</v>
      </c>
      <c r="G18" s="62">
        <f>SUM(G16:G16)</f>
        <v>2040.0000000000002</v>
      </c>
      <c r="H18" s="35"/>
      <c r="I18" s="62">
        <f>SUM(I16:I16)</f>
        <v>14040</v>
      </c>
      <c r="J18" s="37"/>
    </row>
    <row r="19" spans="1:10" ht="15.75" thickTop="1" x14ac:dyDescent="0.25">
      <c r="A19" s="33"/>
      <c r="B19" s="34" t="s">
        <v>1754</v>
      </c>
      <c r="C19" s="35"/>
      <c r="D19" s="35"/>
      <c r="E19" s="35"/>
      <c r="F19" s="35"/>
      <c r="G19" s="35"/>
      <c r="H19" s="35"/>
      <c r="I19" s="35"/>
      <c r="J19" s="37"/>
    </row>
    <row r="20" spans="1:10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</row>
    <row r="21" spans="1:10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</row>
    <row r="22" spans="1:10" x14ac:dyDescent="0.25">
      <c r="B22" t="s">
        <v>634</v>
      </c>
    </row>
    <row r="25" spans="1:10" x14ac:dyDescent="0.25">
      <c r="B25" t="s">
        <v>28</v>
      </c>
      <c r="H25" t="s">
        <v>28</v>
      </c>
    </row>
    <row r="26" spans="1:10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2B27F634-D07C-4312-B8A1-C6284C4F85A3}"/>
  </hyperlinks>
  <pageMargins left="0.2" right="0.1" top="0.25" bottom="0.25" header="0.3" footer="0.3"/>
  <pageSetup paperSize="9" orientation="portrait" r:id="rId2"/>
  <drawing r:id="rId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D3E26-1C15-472F-A4E7-FFD371D6B879}">
  <dimension ref="A1:J29"/>
  <sheetViews>
    <sheetView topLeftCell="A5" workbookViewId="0">
      <selection activeCell="A22" sqref="A22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1866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1874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1873</v>
      </c>
      <c r="J9" s="188"/>
    </row>
    <row r="10" spans="1:10" x14ac:dyDescent="0.25">
      <c r="B10" t="s">
        <v>9</v>
      </c>
      <c r="C10" s="10" t="s">
        <v>1808</v>
      </c>
      <c r="D10" s="10"/>
      <c r="E10" s="10"/>
      <c r="F10" s="10"/>
    </row>
    <row r="11" spans="1:10" x14ac:dyDescent="0.25">
      <c r="B11" t="s">
        <v>11</v>
      </c>
      <c r="C11" s="10" t="s">
        <v>1641</v>
      </c>
      <c r="D11" s="11"/>
      <c r="E11" s="11"/>
      <c r="F11" s="11"/>
    </row>
    <row r="12" spans="1:10" x14ac:dyDescent="0.25">
      <c r="A12" s="12"/>
      <c r="B12" s="13"/>
      <c r="C12" s="14" t="s">
        <v>1642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0" ht="5.0999999999999996" customHeight="1" x14ac:dyDescent="0.25">
      <c r="C14" s="75"/>
    </row>
    <row r="15" spans="1:10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0" s="21" customFormat="1" ht="15.75" x14ac:dyDescent="0.25">
      <c r="A16" s="53">
        <v>1</v>
      </c>
      <c r="B16" s="78" t="s">
        <v>1875</v>
      </c>
      <c r="C16" s="53" t="s">
        <v>987</v>
      </c>
      <c r="D16" s="79">
        <v>1</v>
      </c>
      <c r="E16" s="56">
        <v>3750</v>
      </c>
      <c r="F16" s="56">
        <f t="shared" ref="F16:F20" si="0">D16*E16</f>
        <v>3750</v>
      </c>
      <c r="G16" s="56">
        <f t="shared" ref="G16:G20" si="1">F16*0.17</f>
        <v>637.5</v>
      </c>
      <c r="H16" s="129">
        <f t="shared" ref="H16:H20" si="2">E16*1.17</f>
        <v>4387.5</v>
      </c>
      <c r="I16" s="56">
        <f t="shared" ref="I16:I20" si="3">H16*D16</f>
        <v>4387.5</v>
      </c>
      <c r="J16" s="83"/>
    </row>
    <row r="17" spans="1:10" s="21" customFormat="1" ht="15.75" x14ac:dyDescent="0.25">
      <c r="A17" s="53">
        <v>2</v>
      </c>
      <c r="B17" s="78" t="s">
        <v>1876</v>
      </c>
      <c r="C17" s="53" t="s">
        <v>987</v>
      </c>
      <c r="D17" s="79">
        <v>1</v>
      </c>
      <c r="E17" s="56">
        <v>3750</v>
      </c>
      <c r="F17" s="56">
        <f t="shared" si="0"/>
        <v>3750</v>
      </c>
      <c r="G17" s="56">
        <f t="shared" si="1"/>
        <v>637.5</v>
      </c>
      <c r="H17" s="129">
        <f t="shared" si="2"/>
        <v>4387.5</v>
      </c>
      <c r="I17" s="56">
        <f t="shared" si="3"/>
        <v>4387.5</v>
      </c>
      <c r="J17" s="83"/>
    </row>
    <row r="18" spans="1:10" s="21" customFormat="1" ht="15.75" x14ac:dyDescent="0.25">
      <c r="A18" s="53">
        <v>3</v>
      </c>
      <c r="B18" s="78" t="s">
        <v>1877</v>
      </c>
      <c r="C18" s="53" t="s">
        <v>987</v>
      </c>
      <c r="D18" s="79">
        <v>1</v>
      </c>
      <c r="E18" s="56">
        <v>3750</v>
      </c>
      <c r="F18" s="56">
        <f t="shared" si="0"/>
        <v>3750</v>
      </c>
      <c r="G18" s="56">
        <f t="shared" si="1"/>
        <v>637.5</v>
      </c>
      <c r="H18" s="129">
        <f t="shared" si="2"/>
        <v>4387.5</v>
      </c>
      <c r="I18" s="56">
        <f t="shared" si="3"/>
        <v>4387.5</v>
      </c>
      <c r="J18" s="83"/>
    </row>
    <row r="19" spans="1:10" s="21" customFormat="1" ht="15.75" x14ac:dyDescent="0.25">
      <c r="A19" s="53">
        <v>4</v>
      </c>
      <c r="B19" s="78" t="s">
        <v>1878</v>
      </c>
      <c r="C19" s="53" t="s">
        <v>987</v>
      </c>
      <c r="D19" s="79">
        <v>1</v>
      </c>
      <c r="E19" s="56">
        <v>3750</v>
      </c>
      <c r="F19" s="56">
        <f t="shared" si="0"/>
        <v>3750</v>
      </c>
      <c r="G19" s="56">
        <f t="shared" si="1"/>
        <v>637.5</v>
      </c>
      <c r="H19" s="129">
        <f t="shared" si="2"/>
        <v>4387.5</v>
      </c>
      <c r="I19" s="56">
        <f t="shared" si="3"/>
        <v>4387.5</v>
      </c>
      <c r="J19" s="83"/>
    </row>
    <row r="20" spans="1:10" s="21" customFormat="1" x14ac:dyDescent="0.25">
      <c r="A20" s="53"/>
      <c r="B20" s="47"/>
      <c r="C20" s="82"/>
      <c r="D20" s="57"/>
      <c r="E20" s="56"/>
      <c r="F20" s="56">
        <f t="shared" si="0"/>
        <v>0</v>
      </c>
      <c r="G20" s="56">
        <f t="shared" si="1"/>
        <v>0</v>
      </c>
      <c r="H20" s="129">
        <f t="shared" si="2"/>
        <v>0</v>
      </c>
      <c r="I20" s="56">
        <f t="shared" si="3"/>
        <v>0</v>
      </c>
      <c r="J20" s="58"/>
    </row>
    <row r="21" spans="1:10" ht="15.75" thickBot="1" x14ac:dyDescent="0.3">
      <c r="A21" s="33"/>
      <c r="B21" s="34" t="s">
        <v>24</v>
      </c>
      <c r="C21" s="35"/>
      <c r="D21" s="62">
        <f>SUM(D16:D20)</f>
        <v>4</v>
      </c>
      <c r="E21" s="35"/>
      <c r="F21" s="62">
        <f>SUM(F16:F20)</f>
        <v>15000</v>
      </c>
      <c r="G21" s="62">
        <f>SUM(G16:G20)</f>
        <v>2550</v>
      </c>
      <c r="H21" s="35"/>
      <c r="I21" s="62">
        <f>SUM(I16:I20)</f>
        <v>17550</v>
      </c>
      <c r="J21" s="37"/>
    </row>
    <row r="22" spans="1:10" ht="15.75" thickTop="1" x14ac:dyDescent="0.25">
      <c r="A22" s="33"/>
      <c r="B22" s="34" t="s">
        <v>1869</v>
      </c>
      <c r="C22" s="35"/>
      <c r="D22" s="35"/>
      <c r="E22" s="35"/>
      <c r="F22" s="35"/>
      <c r="G22" s="35"/>
      <c r="H22" s="35"/>
      <c r="I22" s="35"/>
      <c r="J22" s="37"/>
    </row>
    <row r="23" spans="1:10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</row>
    <row r="24" spans="1:10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</row>
    <row r="25" spans="1:10" x14ac:dyDescent="0.25">
      <c r="B25" t="s">
        <v>634</v>
      </c>
    </row>
    <row r="28" spans="1:10" x14ac:dyDescent="0.25">
      <c r="B28" t="s">
        <v>28</v>
      </c>
      <c r="H28" t="s">
        <v>28</v>
      </c>
    </row>
    <row r="29" spans="1:10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1E646024-A8B0-4084-A1B1-CBA16585738F}"/>
  </hyperlinks>
  <pageMargins left="0.2" right="0.1" top="0.25" bottom="0.25" header="0.3" footer="0.3"/>
  <pageSetup paperSize="9" orientation="portrait" r:id="rId2"/>
  <drawing r:id="rId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CD1E7-F21B-4167-955F-5B16EFDCB03C}">
  <dimension ref="A1:J29"/>
  <sheetViews>
    <sheetView workbookViewId="0">
      <selection activeCell="A11" sqref="A11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31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1866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1870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1871</v>
      </c>
      <c r="J9" s="188"/>
    </row>
    <row r="10" spans="1:10" x14ac:dyDescent="0.25">
      <c r="B10" t="s">
        <v>9</v>
      </c>
      <c r="C10" s="10" t="s">
        <v>1708</v>
      </c>
      <c r="D10" s="10"/>
      <c r="E10" s="10"/>
      <c r="F10" s="10"/>
    </row>
    <row r="11" spans="1:10" x14ac:dyDescent="0.25">
      <c r="B11" t="s">
        <v>11</v>
      </c>
      <c r="C11" s="10" t="s">
        <v>1641</v>
      </c>
      <c r="D11" s="11"/>
      <c r="E11" s="11"/>
      <c r="F11" s="11"/>
    </row>
    <row r="12" spans="1:10" x14ac:dyDescent="0.25">
      <c r="A12" s="12"/>
      <c r="B12" s="13"/>
      <c r="C12" s="14" t="s">
        <v>1642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0" ht="5.0999999999999996" customHeight="1" x14ac:dyDescent="0.25">
      <c r="C14" s="75"/>
    </row>
    <row r="15" spans="1:10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0" s="21" customFormat="1" ht="15.75" x14ac:dyDescent="0.25">
      <c r="A16" s="53">
        <v>1</v>
      </c>
      <c r="B16" s="78" t="s">
        <v>1801</v>
      </c>
      <c r="C16" s="53" t="s">
        <v>987</v>
      </c>
      <c r="D16" s="79">
        <v>1</v>
      </c>
      <c r="E16" s="56">
        <v>10000</v>
      </c>
      <c r="F16" s="56">
        <f t="shared" ref="F16:F20" si="0">D16*E16</f>
        <v>10000</v>
      </c>
      <c r="G16" s="56">
        <f t="shared" ref="G16:G20" si="1">F16*0.17</f>
        <v>1700.0000000000002</v>
      </c>
      <c r="H16" s="129">
        <f t="shared" ref="H16:H20" si="2">E16*1.17</f>
        <v>11700</v>
      </c>
      <c r="I16" s="56">
        <f t="shared" ref="I16:I20" si="3">H16*D16</f>
        <v>11700</v>
      </c>
      <c r="J16" s="83"/>
    </row>
    <row r="17" spans="1:10" s="21" customFormat="1" ht="15.75" x14ac:dyDescent="0.25">
      <c r="A17" s="53">
        <v>2</v>
      </c>
      <c r="B17" s="78" t="s">
        <v>1802</v>
      </c>
      <c r="C17" s="53" t="s">
        <v>987</v>
      </c>
      <c r="D17" s="79">
        <v>1</v>
      </c>
      <c r="E17" s="56">
        <v>10000</v>
      </c>
      <c r="F17" s="56">
        <f t="shared" si="0"/>
        <v>10000</v>
      </c>
      <c r="G17" s="56">
        <f t="shared" si="1"/>
        <v>1700.0000000000002</v>
      </c>
      <c r="H17" s="129">
        <f t="shared" si="2"/>
        <v>11700</v>
      </c>
      <c r="I17" s="56">
        <f t="shared" si="3"/>
        <v>11700</v>
      </c>
      <c r="J17" s="83"/>
    </row>
    <row r="18" spans="1:10" s="21" customFormat="1" ht="15.75" x14ac:dyDescent="0.25">
      <c r="A18" s="53">
        <v>3</v>
      </c>
      <c r="B18" s="78" t="s">
        <v>1803</v>
      </c>
      <c r="C18" s="53" t="s">
        <v>987</v>
      </c>
      <c r="D18" s="79">
        <v>1</v>
      </c>
      <c r="E18" s="56">
        <v>10000</v>
      </c>
      <c r="F18" s="56">
        <f t="shared" si="0"/>
        <v>10000</v>
      </c>
      <c r="G18" s="56">
        <f t="shared" si="1"/>
        <v>1700.0000000000002</v>
      </c>
      <c r="H18" s="129">
        <f t="shared" si="2"/>
        <v>11700</v>
      </c>
      <c r="I18" s="56">
        <f t="shared" si="3"/>
        <v>11700</v>
      </c>
      <c r="J18" s="83"/>
    </row>
    <row r="19" spans="1:10" s="21" customFormat="1" ht="15.75" x14ac:dyDescent="0.25">
      <c r="A19" s="53">
        <v>4</v>
      </c>
      <c r="B19" s="78" t="s">
        <v>1804</v>
      </c>
      <c r="C19" s="53" t="s">
        <v>987</v>
      </c>
      <c r="D19" s="79">
        <v>1</v>
      </c>
      <c r="E19" s="56">
        <v>10000</v>
      </c>
      <c r="F19" s="56">
        <f t="shared" si="0"/>
        <v>10000</v>
      </c>
      <c r="G19" s="56">
        <f t="shared" si="1"/>
        <v>1700.0000000000002</v>
      </c>
      <c r="H19" s="129">
        <f t="shared" si="2"/>
        <v>11700</v>
      </c>
      <c r="I19" s="56">
        <f t="shared" si="3"/>
        <v>11700</v>
      </c>
      <c r="J19" s="83"/>
    </row>
    <row r="20" spans="1:10" s="21" customFormat="1" x14ac:dyDescent="0.25">
      <c r="A20" s="53"/>
      <c r="B20" s="47"/>
      <c r="C20" s="82"/>
      <c r="D20" s="57"/>
      <c r="E20" s="56"/>
      <c r="F20" s="56">
        <f t="shared" si="0"/>
        <v>0</v>
      </c>
      <c r="G20" s="56">
        <f t="shared" si="1"/>
        <v>0</v>
      </c>
      <c r="H20" s="129">
        <f t="shared" si="2"/>
        <v>0</v>
      </c>
      <c r="I20" s="56">
        <f t="shared" si="3"/>
        <v>0</v>
      </c>
      <c r="J20" s="58"/>
    </row>
    <row r="21" spans="1:10" ht="15.75" thickBot="1" x14ac:dyDescent="0.3">
      <c r="A21" s="33"/>
      <c r="B21" s="34" t="s">
        <v>24</v>
      </c>
      <c r="C21" s="35"/>
      <c r="D21" s="62">
        <f>SUM(D16:D20)</f>
        <v>4</v>
      </c>
      <c r="E21" s="35"/>
      <c r="F21" s="62">
        <f>SUM(F16:F20)</f>
        <v>40000</v>
      </c>
      <c r="G21" s="62">
        <f>SUM(G16:G20)</f>
        <v>6800.0000000000009</v>
      </c>
      <c r="H21" s="35"/>
      <c r="I21" s="62">
        <f>SUM(I16:I20)</f>
        <v>46800</v>
      </c>
      <c r="J21" s="37"/>
    </row>
    <row r="22" spans="1:10" ht="15.75" thickTop="1" x14ac:dyDescent="0.25">
      <c r="A22" s="33"/>
      <c r="B22" s="34" t="s">
        <v>1872</v>
      </c>
      <c r="C22" s="35"/>
      <c r="D22" s="35"/>
      <c r="E22" s="35"/>
      <c r="F22" s="35"/>
      <c r="G22" s="35"/>
      <c r="H22" s="35"/>
      <c r="I22" s="35"/>
      <c r="J22" s="37"/>
    </row>
    <row r="23" spans="1:10" x14ac:dyDescent="0.25">
      <c r="A23" s="33"/>
      <c r="B23" s="38" t="s">
        <v>25</v>
      </c>
      <c r="C23" s="35"/>
      <c r="D23" s="35"/>
      <c r="E23" s="35"/>
      <c r="F23" s="35"/>
      <c r="G23" s="35"/>
      <c r="H23" s="35"/>
      <c r="I23" s="35"/>
      <c r="J23" s="37"/>
    </row>
    <row r="24" spans="1:10" ht="30" customHeight="1" x14ac:dyDescent="0.25">
      <c r="B24" s="183" t="s">
        <v>26</v>
      </c>
      <c r="C24" s="183"/>
      <c r="D24" s="183"/>
      <c r="E24" s="183"/>
      <c r="F24" s="183"/>
      <c r="G24" s="183"/>
      <c r="H24" s="183"/>
      <c r="I24" s="183"/>
      <c r="J24" s="183"/>
    </row>
    <row r="25" spans="1:10" x14ac:dyDescent="0.25">
      <c r="B25" t="s">
        <v>634</v>
      </c>
    </row>
    <row r="28" spans="1:10" x14ac:dyDescent="0.25">
      <c r="B28" t="s">
        <v>28</v>
      </c>
      <c r="H28" t="s">
        <v>28</v>
      </c>
    </row>
    <row r="29" spans="1:10" x14ac:dyDescent="0.25">
      <c r="B29" t="s">
        <v>29</v>
      </c>
      <c r="H29" t="s">
        <v>30</v>
      </c>
    </row>
  </sheetData>
  <autoFilter ref="A15:J25" xr:uid="{00000000-0009-0000-0000-000000000000}"/>
  <mergeCells count="5">
    <mergeCell ref="A6:J6"/>
    <mergeCell ref="I7:J7"/>
    <mergeCell ref="I8:J8"/>
    <mergeCell ref="I9:J9"/>
    <mergeCell ref="B24:J24"/>
  </mergeCells>
  <hyperlinks>
    <hyperlink ref="H5" r:id="rId1" xr:uid="{DED0ED9F-340A-415C-BA94-2BE581967B16}"/>
  </hyperlinks>
  <pageMargins left="0.2" right="0.1" top="0.25" bottom="0.25" header="0.3" footer="0.3"/>
  <pageSetup paperSize="9" orientation="portrait" r:id="rId2"/>
  <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55CDA-B8E6-4117-AF6D-AF4A17A14B36}">
  <dimension ref="A1:R26"/>
  <sheetViews>
    <sheetView workbookViewId="0"/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1866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1865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1867</v>
      </c>
      <c r="J9" s="188"/>
    </row>
    <row r="10" spans="1:14" x14ac:dyDescent="0.25">
      <c r="B10" t="s">
        <v>9</v>
      </c>
      <c r="C10" s="10" t="s">
        <v>1712</v>
      </c>
      <c r="D10" s="10"/>
      <c r="E10" s="10"/>
      <c r="F10" s="10"/>
    </row>
    <row r="11" spans="1:14" x14ac:dyDescent="0.25">
      <c r="B11" t="s">
        <v>11</v>
      </c>
      <c r="C11" s="10" t="s">
        <v>1641</v>
      </c>
      <c r="D11" s="11"/>
      <c r="E11" s="11"/>
      <c r="F11" s="11"/>
    </row>
    <row r="12" spans="1:14" x14ac:dyDescent="0.25">
      <c r="A12" s="12"/>
      <c r="B12" s="13"/>
      <c r="C12" s="14" t="s">
        <v>1642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/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19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1868</v>
      </c>
      <c r="C16" s="53" t="s">
        <v>987</v>
      </c>
      <c r="D16" s="79">
        <v>1</v>
      </c>
      <c r="E16" s="56">
        <v>15000</v>
      </c>
      <c r="F16" s="56">
        <f t="shared" ref="F16:F17" si="0">D16*E16</f>
        <v>15000</v>
      </c>
      <c r="G16" s="56">
        <f t="shared" ref="G16:G17" si="1">F16*0.17</f>
        <v>2550</v>
      </c>
      <c r="H16" s="129">
        <f t="shared" ref="H16:H17" si="2">E16*1.17</f>
        <v>17550</v>
      </c>
      <c r="I16" s="56">
        <f t="shared" ref="I16:I17" si="3">H16*D16</f>
        <v>17550</v>
      </c>
      <c r="J16" s="83"/>
      <c r="N16" s="66"/>
    </row>
    <row r="17" spans="1:18" s="21" customFormat="1" x14ac:dyDescent="0.25">
      <c r="A17" s="53"/>
      <c r="B17" s="47"/>
      <c r="C17" s="82"/>
      <c r="D17" s="57"/>
      <c r="E17" s="56"/>
      <c r="F17" s="56">
        <f t="shared" si="0"/>
        <v>0</v>
      </c>
      <c r="G17" s="56">
        <f t="shared" si="1"/>
        <v>0</v>
      </c>
      <c r="H17" s="129">
        <f t="shared" si="2"/>
        <v>0</v>
      </c>
      <c r="I17" s="56">
        <f t="shared" si="3"/>
        <v>0</v>
      </c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1</v>
      </c>
      <c r="E18" s="35"/>
      <c r="F18" s="62">
        <f>SUM(F16:F17)</f>
        <v>15000</v>
      </c>
      <c r="G18" s="62">
        <f>SUM(G16:G17)</f>
        <v>2550</v>
      </c>
      <c r="H18" s="35"/>
      <c r="I18" s="62">
        <f>SUM(I16:I17)</f>
        <v>17550</v>
      </c>
      <c r="J18" s="37"/>
    </row>
    <row r="19" spans="1:18" ht="15.75" thickTop="1" x14ac:dyDescent="0.25">
      <c r="A19" s="33"/>
      <c r="B19" s="34" t="s">
        <v>1869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A9EF3FE7-33AF-450C-A3A6-0BCFFBB1B831}"/>
  </hyperlinks>
  <pageMargins left="0.2" right="0.1" top="0.25" bottom="0.25" header="0.3" footer="0.3"/>
  <pageSetup paperSize="9" orientation="portrait" r:id="rId2"/>
  <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ED676-182F-4CF6-B3F5-4A04DEA8E48F}">
  <dimension ref="A1:R26"/>
  <sheetViews>
    <sheetView workbookViewId="0">
      <selection activeCell="M10" sqref="M10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1855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1859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1860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1861</v>
      </c>
      <c r="C16" s="53" t="s">
        <v>987</v>
      </c>
      <c r="D16" s="79">
        <v>6</v>
      </c>
      <c r="E16" s="56">
        <v>32</v>
      </c>
      <c r="F16" s="56">
        <f>D16*E16</f>
        <v>192</v>
      </c>
      <c r="G16" s="56">
        <f>F16*0.17</f>
        <v>32.64</v>
      </c>
      <c r="H16" s="125">
        <f>E16*1.17</f>
        <v>37.44</v>
      </c>
      <c r="I16" s="56">
        <f t="shared" ref="I16" si="0">H16*D16</f>
        <v>224.64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6</v>
      </c>
      <c r="E18" s="35"/>
      <c r="F18" s="62">
        <f>SUM(F16:F17)</f>
        <v>192</v>
      </c>
      <c r="G18" s="62">
        <f>SUM(G16:G17)</f>
        <v>32.64</v>
      </c>
      <c r="H18" s="35"/>
      <c r="I18" s="62">
        <f>SUM(I16:I17)</f>
        <v>224.64</v>
      </c>
      <c r="J18" s="37"/>
    </row>
    <row r="19" spans="1:18" ht="15.75" thickTop="1" x14ac:dyDescent="0.25">
      <c r="A19" s="33"/>
      <c r="B19" s="34" t="s">
        <v>1862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6EE19EC5-ACE3-4C08-AA99-1D548669E846}"/>
  </hyperlinks>
  <pageMargins left="0.2" right="0.1" top="0.25" bottom="0.25" header="0.3" footer="0.3"/>
  <pageSetup paperSize="9" orientation="portrait" r:id="rId2"/>
  <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B03FF-8FD9-46B9-9B30-CBED3C81F016}">
  <dimension ref="A1:R26"/>
  <sheetViews>
    <sheetView workbookViewId="0">
      <selection activeCell="A18" sqref="A1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1855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1854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1856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1857</v>
      </c>
      <c r="C16" s="53" t="s">
        <v>987</v>
      </c>
      <c r="D16" s="79">
        <v>1</v>
      </c>
      <c r="E16" s="56">
        <v>650</v>
      </c>
      <c r="F16" s="56">
        <f>D16*E16</f>
        <v>650</v>
      </c>
      <c r="G16" s="56">
        <f>F16*0.17</f>
        <v>110.50000000000001</v>
      </c>
      <c r="H16" s="125">
        <f>E16*1.17</f>
        <v>760.5</v>
      </c>
      <c r="I16" s="56">
        <f t="shared" ref="I16" si="0">H16*D16</f>
        <v>760.5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1</v>
      </c>
      <c r="E18" s="35"/>
      <c r="F18" s="62">
        <f>SUM(F16:F17)</f>
        <v>650</v>
      </c>
      <c r="G18" s="62">
        <f>SUM(G16:G17)</f>
        <v>110.50000000000001</v>
      </c>
      <c r="H18" s="35"/>
      <c r="I18" s="62">
        <f>SUM(I16:I17)</f>
        <v>760.5</v>
      </c>
      <c r="J18" s="37"/>
    </row>
    <row r="19" spans="1:18" ht="15.75" thickTop="1" x14ac:dyDescent="0.25">
      <c r="A19" s="33"/>
      <c r="B19" s="34" t="s">
        <v>1858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40095BA2-E36A-4431-92EA-39DC9FB0D780}"/>
  </hyperlinks>
  <pageMargins left="0.2" right="0.1" top="0.25" bottom="0.25" header="0.3" footer="0.3"/>
  <pageSetup paperSize="9" orientation="portrait" r:id="rId2"/>
  <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3CB17-A137-4BEB-9DAD-70171C21283E}">
  <dimension ref="A1:R26"/>
  <sheetViews>
    <sheetView workbookViewId="0">
      <selection activeCell="G18" sqref="G18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1844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1849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1850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1847</v>
      </c>
      <c r="C16" s="53" t="s">
        <v>987</v>
      </c>
      <c r="D16" s="79">
        <v>2</v>
      </c>
      <c r="E16" s="56">
        <v>180</v>
      </c>
      <c r="F16" s="56">
        <f>D16*E16</f>
        <v>360</v>
      </c>
      <c r="G16" s="56">
        <f>F16*0.17</f>
        <v>61.2</v>
      </c>
      <c r="H16" s="125">
        <f>E16*1.17</f>
        <v>210.6</v>
      </c>
      <c r="I16" s="56">
        <f t="shared" ref="I16" si="0">H16*D16</f>
        <v>421.2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2</v>
      </c>
      <c r="E18" s="35"/>
      <c r="F18" s="62">
        <f>SUM(F16:F17)</f>
        <v>360</v>
      </c>
      <c r="G18" s="62">
        <f>SUM(G16:G17)</f>
        <v>61.2</v>
      </c>
      <c r="H18" s="35"/>
      <c r="I18" s="62">
        <f>SUM(I16:I17)</f>
        <v>421.2</v>
      </c>
      <c r="J18" s="37"/>
    </row>
    <row r="19" spans="1:18" ht="15.75" thickTop="1" x14ac:dyDescent="0.25">
      <c r="A19" s="33"/>
      <c r="B19" s="34" t="s">
        <v>1848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0E7AD3A6-3CCA-422C-BE93-600C84AE84FB}"/>
  </hyperlinks>
  <pageMargins left="0.2" right="0.1" top="0.25" bottom="0.25" header="0.3" footer="0.3"/>
  <pageSetup paperSize="9" orientation="portrait" r:id="rId2"/>
  <drawing r:id="rId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0BD16-7C1B-42E6-8308-AD36DC3BA809}">
  <dimension ref="A1:R26"/>
  <sheetViews>
    <sheetView workbookViewId="0">
      <selection activeCell="A17" sqref="A17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  <col min="13" max="13" width="10.5703125" bestFit="1" customWidth="1"/>
    <col min="14" max="14" width="11.28515625" bestFit="1" customWidth="1"/>
    <col min="16" max="18" width="9.5703125" bestFit="1" customWidth="1"/>
  </cols>
  <sheetData>
    <row r="1" spans="1:14" x14ac:dyDescent="0.25">
      <c r="D1" s="1"/>
      <c r="E1" s="1"/>
      <c r="F1" s="1"/>
      <c r="H1" s="1" t="s">
        <v>0</v>
      </c>
    </row>
    <row r="2" spans="1:14" x14ac:dyDescent="0.25">
      <c r="D2" s="2"/>
      <c r="E2" s="2"/>
      <c r="F2" s="2"/>
      <c r="H2" s="2" t="s">
        <v>1</v>
      </c>
    </row>
    <row r="3" spans="1:14" x14ac:dyDescent="0.25">
      <c r="D3" s="2"/>
      <c r="E3" s="2"/>
      <c r="F3" s="2"/>
      <c r="H3" s="2" t="s">
        <v>2</v>
      </c>
    </row>
    <row r="4" spans="1:14" x14ac:dyDescent="0.25">
      <c r="D4" s="2"/>
      <c r="E4" s="2"/>
      <c r="F4" s="2"/>
      <c r="H4" s="2" t="s">
        <v>31</v>
      </c>
    </row>
    <row r="5" spans="1:14" ht="21" x14ac:dyDescent="0.35">
      <c r="B5" s="3"/>
      <c r="D5" s="4"/>
      <c r="E5" s="5"/>
      <c r="F5" s="5"/>
      <c r="H5" s="6" t="s">
        <v>32</v>
      </c>
    </row>
    <row r="6" spans="1:14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4" x14ac:dyDescent="0.25">
      <c r="A7" s="7" t="s">
        <v>1844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4" x14ac:dyDescent="0.25">
      <c r="A8" s="9" t="s">
        <v>1843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4" x14ac:dyDescent="0.25">
      <c r="A9" s="7"/>
      <c r="B9" s="7"/>
      <c r="C9" s="7"/>
      <c r="D9" s="8"/>
      <c r="E9" s="8"/>
      <c r="F9" s="8"/>
      <c r="G9" s="8"/>
      <c r="H9" s="8" t="s">
        <v>8</v>
      </c>
      <c r="I9" s="188" t="s">
        <v>1845</v>
      </c>
      <c r="J9" s="188"/>
    </row>
    <row r="10" spans="1:14" x14ac:dyDescent="0.25">
      <c r="B10" t="s">
        <v>9</v>
      </c>
      <c r="C10" s="10" t="s">
        <v>1374</v>
      </c>
      <c r="D10" s="10"/>
      <c r="E10" s="10"/>
      <c r="F10" s="10"/>
    </row>
    <row r="11" spans="1:14" x14ac:dyDescent="0.25">
      <c r="B11" t="s">
        <v>11</v>
      </c>
      <c r="C11" s="11" t="s">
        <v>1372</v>
      </c>
      <c r="D11" s="11"/>
      <c r="E11" s="11"/>
      <c r="F11" s="11"/>
    </row>
    <row r="12" spans="1:14" x14ac:dyDescent="0.25">
      <c r="A12" s="12"/>
      <c r="B12" s="13"/>
      <c r="C12" s="11" t="s">
        <v>1373</v>
      </c>
      <c r="D12" s="15"/>
      <c r="E12" s="15"/>
      <c r="F12" s="15"/>
      <c r="G12" s="16"/>
      <c r="H12" s="16"/>
      <c r="I12" s="16"/>
    </row>
    <row r="13" spans="1:14" x14ac:dyDescent="0.25">
      <c r="A13" s="12"/>
      <c r="B13" s="13"/>
      <c r="C13" s="14" t="s">
        <v>1375</v>
      </c>
      <c r="D13" s="15"/>
      <c r="E13" s="15"/>
      <c r="F13" s="15"/>
      <c r="G13" s="16"/>
      <c r="H13" s="16"/>
      <c r="I13" s="16"/>
    </row>
    <row r="14" spans="1:14" ht="5.0999999999999996" customHeight="1" x14ac:dyDescent="0.25">
      <c r="C14" s="75"/>
    </row>
    <row r="15" spans="1:14" s="21" customFormat="1" ht="45" customHeight="1" x14ac:dyDescent="0.25">
      <c r="A15" s="76" t="s">
        <v>13</v>
      </c>
      <c r="B15" s="77" t="s">
        <v>14</v>
      </c>
      <c r="C15" s="76" t="s">
        <v>15</v>
      </c>
      <c r="D15" s="76" t="s">
        <v>16</v>
      </c>
      <c r="E15" s="76" t="s">
        <v>17</v>
      </c>
      <c r="F15" s="76" t="s">
        <v>18</v>
      </c>
      <c r="G15" s="76" t="s">
        <v>1083</v>
      </c>
      <c r="H15" s="76" t="s">
        <v>20</v>
      </c>
      <c r="I15" s="76" t="s">
        <v>21</v>
      </c>
      <c r="J15" s="77" t="s">
        <v>22</v>
      </c>
    </row>
    <row r="16" spans="1:14" s="21" customFormat="1" ht="15.75" x14ac:dyDescent="0.25">
      <c r="A16" s="53">
        <v>1</v>
      </c>
      <c r="B16" s="78" t="s">
        <v>260</v>
      </c>
      <c r="C16" s="53" t="s">
        <v>987</v>
      </c>
      <c r="D16" s="79">
        <v>2</v>
      </c>
      <c r="E16" s="56">
        <v>45</v>
      </c>
      <c r="F16" s="56">
        <f>D16*E16</f>
        <v>90</v>
      </c>
      <c r="G16" s="56">
        <f>F16*0.17</f>
        <v>15.3</v>
      </c>
      <c r="H16" s="125">
        <f>E16*1.17</f>
        <v>52.65</v>
      </c>
      <c r="I16" s="56">
        <f t="shared" ref="I16" si="0">H16*D16</f>
        <v>105.3</v>
      </c>
      <c r="J16" s="83"/>
      <c r="N16" s="66"/>
    </row>
    <row r="17" spans="1:18" s="21" customFormat="1" x14ac:dyDescent="0.25">
      <c r="A17" s="53"/>
      <c r="B17" s="47"/>
      <c r="C17" s="53"/>
      <c r="D17" s="79"/>
      <c r="E17" s="56"/>
      <c r="F17" s="56"/>
      <c r="G17" s="56"/>
      <c r="H17" s="57"/>
      <c r="I17" s="56"/>
      <c r="J17" s="58"/>
      <c r="N17" s="66"/>
    </row>
    <row r="18" spans="1:18" ht="15.75" thickBot="1" x14ac:dyDescent="0.3">
      <c r="A18" s="33"/>
      <c r="B18" s="34" t="s">
        <v>24</v>
      </c>
      <c r="C18" s="35"/>
      <c r="D18" s="62">
        <f>SUM(D16:D17)</f>
        <v>2</v>
      </c>
      <c r="E18" s="35"/>
      <c r="F18" s="62">
        <f>SUM(F16:F17)</f>
        <v>90</v>
      </c>
      <c r="G18" s="62">
        <f>SUM(G16:G17)</f>
        <v>15.3</v>
      </c>
      <c r="H18" s="35"/>
      <c r="I18" s="62">
        <f>SUM(I16:I17)</f>
        <v>105.3</v>
      </c>
      <c r="J18" s="37"/>
    </row>
    <row r="19" spans="1:18" ht="15.75" thickTop="1" x14ac:dyDescent="0.25">
      <c r="A19" s="33"/>
      <c r="B19" s="34" t="s">
        <v>1846</v>
      </c>
      <c r="C19" s="35"/>
      <c r="D19" s="35"/>
      <c r="E19" s="35"/>
      <c r="F19" s="35"/>
      <c r="G19" s="35"/>
      <c r="H19" s="35"/>
      <c r="I19" s="35"/>
      <c r="J19" s="37"/>
    </row>
    <row r="20" spans="1:18" x14ac:dyDescent="0.25">
      <c r="A20" s="33"/>
      <c r="B20" s="38" t="s">
        <v>25</v>
      </c>
      <c r="C20" s="35"/>
      <c r="D20" s="35"/>
      <c r="E20" s="35"/>
      <c r="F20" s="35"/>
      <c r="G20" s="35"/>
      <c r="H20" s="35"/>
      <c r="I20" s="35"/>
      <c r="J20" s="37"/>
      <c r="M20" s="64"/>
      <c r="O20" s="65"/>
      <c r="P20" s="64"/>
      <c r="Q20" s="64"/>
      <c r="R20" s="64"/>
    </row>
    <row r="21" spans="1:18" ht="30" customHeight="1" x14ac:dyDescent="0.25">
      <c r="B21" s="183" t="s">
        <v>26</v>
      </c>
      <c r="C21" s="183"/>
      <c r="D21" s="183"/>
      <c r="E21" s="183"/>
      <c r="F21" s="183"/>
      <c r="G21" s="183"/>
      <c r="H21" s="183"/>
      <c r="I21" s="183"/>
      <c r="J21" s="183"/>
      <c r="P21" s="64"/>
      <c r="R21" s="65"/>
    </row>
    <row r="22" spans="1:18" x14ac:dyDescent="0.25">
      <c r="B22" t="s">
        <v>634</v>
      </c>
    </row>
    <row r="25" spans="1:18" x14ac:dyDescent="0.25">
      <c r="B25" t="s">
        <v>28</v>
      </c>
      <c r="H25" t="s">
        <v>28</v>
      </c>
    </row>
    <row r="26" spans="1:18" x14ac:dyDescent="0.25">
      <c r="B26" t="s">
        <v>29</v>
      </c>
      <c r="H26" t="s">
        <v>30</v>
      </c>
    </row>
  </sheetData>
  <autoFilter ref="A15:J22" xr:uid="{00000000-0009-0000-0000-000000000000}"/>
  <mergeCells count="5">
    <mergeCell ref="A6:J6"/>
    <mergeCell ref="I7:J7"/>
    <mergeCell ref="I8:J8"/>
    <mergeCell ref="I9:J9"/>
    <mergeCell ref="B21:J21"/>
  </mergeCells>
  <hyperlinks>
    <hyperlink ref="H5" r:id="rId1" xr:uid="{6B9849C3-E9A5-4919-B716-54B5CDEB4AF3}"/>
  </hyperlinks>
  <pageMargins left="0.2" right="0.1" top="0.25" bottom="0.25" header="0.3" footer="0.3"/>
  <pageSetup paperSize="9" orientation="portrait" r:id="rId2"/>
  <drawing r:id="rId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40088-E501-4677-AB57-789A422D4E5D}">
  <dimension ref="A1:J25"/>
  <sheetViews>
    <sheetView workbookViewId="0">
      <selection activeCell="C10" sqref="C10:H13"/>
    </sheetView>
  </sheetViews>
  <sheetFormatPr defaultRowHeight="15" x14ac:dyDescent="0.25"/>
  <cols>
    <col min="1" max="1" width="3.7109375" customWidth="1"/>
    <col min="2" max="2" width="25.7109375" customWidth="1"/>
    <col min="3" max="3" width="7.42578125" customWidth="1"/>
    <col min="4" max="4" width="6.7109375" customWidth="1"/>
    <col min="5" max="5" width="8.7109375" customWidth="1"/>
    <col min="6" max="6" width="8.28515625" customWidth="1"/>
    <col min="7" max="7" width="8.7109375" customWidth="1"/>
    <col min="8" max="9" width="8.28515625" customWidth="1"/>
    <col min="10" max="10" width="12.7109375" customWidth="1"/>
  </cols>
  <sheetData>
    <row r="1" spans="1:10" x14ac:dyDescent="0.25">
      <c r="D1" s="1"/>
      <c r="E1" s="1"/>
      <c r="F1" s="1"/>
      <c r="H1" s="1" t="s">
        <v>0</v>
      </c>
    </row>
    <row r="2" spans="1:10" x14ac:dyDescent="0.25">
      <c r="D2" s="2"/>
      <c r="E2" s="2"/>
      <c r="F2" s="2"/>
      <c r="H2" s="2" t="s">
        <v>1004</v>
      </c>
    </row>
    <row r="3" spans="1:10" x14ac:dyDescent="0.25">
      <c r="D3" s="2"/>
      <c r="E3" s="2"/>
      <c r="F3" s="2"/>
      <c r="H3" s="2" t="s">
        <v>2</v>
      </c>
    </row>
    <row r="4" spans="1:10" x14ac:dyDescent="0.25">
      <c r="D4" s="2"/>
      <c r="E4" s="2"/>
      <c r="F4" s="2"/>
      <c r="H4" s="2" t="s">
        <v>1005</v>
      </c>
    </row>
    <row r="5" spans="1:10" ht="21" x14ac:dyDescent="0.35">
      <c r="B5" s="3"/>
      <c r="D5" s="4"/>
      <c r="E5" s="5"/>
      <c r="F5" s="5"/>
      <c r="H5" s="6" t="s">
        <v>32</v>
      </c>
    </row>
    <row r="6" spans="1:10" ht="21" x14ac:dyDescent="0.35">
      <c r="A6" s="184" t="s">
        <v>3</v>
      </c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A7" s="7" t="s">
        <v>1837</v>
      </c>
      <c r="B7" s="7"/>
      <c r="C7" s="7"/>
      <c r="D7" s="8"/>
      <c r="E7" s="8"/>
      <c r="F7" s="8"/>
      <c r="G7" s="8"/>
      <c r="H7" s="8" t="s">
        <v>4</v>
      </c>
      <c r="I7" s="186" t="s">
        <v>5</v>
      </c>
      <c r="J7" s="186"/>
    </row>
    <row r="8" spans="1:10" x14ac:dyDescent="0.25">
      <c r="A8" s="9" t="s">
        <v>1836</v>
      </c>
      <c r="B8" s="7"/>
      <c r="C8" s="7"/>
      <c r="D8" s="8"/>
      <c r="E8" s="8"/>
      <c r="F8" s="8"/>
      <c r="G8" s="8"/>
      <c r="H8" s="8" t="s">
        <v>6</v>
      </c>
      <c r="I8" s="187" t="s">
        <v>7</v>
      </c>
      <c r="J8" s="187"/>
    </row>
    <row r="9" spans="1:10" x14ac:dyDescent="0.25">
      <c r="A9" s="7"/>
      <c r="B9" s="7"/>
      <c r="C9" s="7"/>
      <c r="D9" s="8"/>
      <c r="E9" s="8"/>
      <c r="F9" s="8"/>
      <c r="G9" s="8"/>
      <c r="H9" s="8" t="s">
        <v>8</v>
      </c>
      <c r="I9" s="188"/>
      <c r="J9" s="188"/>
    </row>
    <row r="10" spans="1:10" x14ac:dyDescent="0.25">
      <c r="B10" t="s">
        <v>9</v>
      </c>
      <c r="C10" s="10" t="s">
        <v>1838</v>
      </c>
      <c r="D10" s="10"/>
      <c r="E10" s="10"/>
      <c r="F10" s="10"/>
    </row>
    <row r="11" spans="1:10" x14ac:dyDescent="0.25">
      <c r="B11" t="s">
        <v>11</v>
      </c>
      <c r="C11" s="132" t="s">
        <v>1839</v>
      </c>
      <c r="D11" s="11"/>
      <c r="E11" s="11"/>
      <c r="F11" s="11"/>
    </row>
    <row r="12" spans="1:10" x14ac:dyDescent="0.25">
      <c r="A12" s="12"/>
      <c r="B12" s="13"/>
      <c r="C12" s="132" t="s">
        <v>52</v>
      </c>
      <c r="D12" s="15"/>
      <c r="E12" s="15"/>
      <c r="F12" s="15"/>
      <c r="G12" s="16"/>
      <c r="H12" s="16"/>
      <c r="I12" s="16"/>
    </row>
    <row r="13" spans="1:10" x14ac:dyDescent="0.25">
      <c r="A13" s="12"/>
      <c r="B13" s="13"/>
      <c r="C13" s="14" t="s">
        <v>1840</v>
      </c>
      <c r="D13" s="15"/>
      <c r="E13" s="15"/>
      <c r="F13" s="15"/>
      <c r="G13" s="16"/>
      <c r="H13" s="16"/>
      <c r="I13" s="16"/>
    </row>
    <row r="14" spans="1:10" ht="5.0999999999999996" customHeight="1" thickBot="1" x14ac:dyDescent="0.3">
      <c r="C14" s="14"/>
    </row>
    <row r="15" spans="1:10" s="21" customFormat="1" ht="45" customHeight="1" thickTop="1" x14ac:dyDescent="0.25">
      <c r="A15" s="59" t="s">
        <v>13</v>
      </c>
      <c r="B15" s="45" t="s">
        <v>14</v>
      </c>
      <c r="C15" s="60" t="s">
        <v>15</v>
      </c>
      <c r="D15" s="60" t="s">
        <v>16</v>
      </c>
      <c r="E15" s="60" t="s">
        <v>17</v>
      </c>
      <c r="F15" s="60" t="s">
        <v>18</v>
      </c>
      <c r="G15" s="60" t="s">
        <v>19</v>
      </c>
      <c r="H15" s="60" t="s">
        <v>20</v>
      </c>
      <c r="I15" s="60" t="s">
        <v>21</v>
      </c>
      <c r="J15" s="61" t="s">
        <v>22</v>
      </c>
    </row>
    <row r="16" spans="1:10" s="21" customFormat="1" x14ac:dyDescent="0.25">
      <c r="A16" s="53">
        <v>1</v>
      </c>
      <c r="B16" s="47" t="s">
        <v>1841</v>
      </c>
      <c r="C16" s="54" t="s">
        <v>23</v>
      </c>
      <c r="D16" s="72">
        <v>5</v>
      </c>
      <c r="E16" s="56">
        <v>7200</v>
      </c>
      <c r="F16" s="56">
        <f t="shared" ref="F16" si="0">D16*E16</f>
        <v>36000</v>
      </c>
      <c r="G16" s="56">
        <f>F16*0.17</f>
        <v>6120</v>
      </c>
      <c r="H16" s="84">
        <f>E16*1.17</f>
        <v>8424</v>
      </c>
      <c r="I16" s="56">
        <f t="shared" ref="I16" si="1">H16*D16</f>
        <v>42120</v>
      </c>
      <c r="J16" s="58"/>
    </row>
    <row r="17" spans="1:10" ht="15.75" thickBot="1" x14ac:dyDescent="0.3">
      <c r="A17" s="33"/>
      <c r="B17" s="34" t="s">
        <v>24</v>
      </c>
      <c r="C17" s="35"/>
      <c r="D17" s="62">
        <f>SUM(D16:D16)</f>
        <v>5</v>
      </c>
      <c r="E17" s="35"/>
      <c r="F17" s="62">
        <f>SUM(F16:F16)</f>
        <v>36000</v>
      </c>
      <c r="G17" s="62">
        <f>SUM(G16:G16)</f>
        <v>6120</v>
      </c>
      <c r="H17" s="35"/>
      <c r="I17" s="62">
        <f>SUM(I16:I16)</f>
        <v>42120</v>
      </c>
      <c r="J17" s="37"/>
    </row>
    <row r="18" spans="1:10" ht="15.75" thickTop="1" x14ac:dyDescent="0.25">
      <c r="A18" s="33"/>
      <c r="B18" s="34" t="s">
        <v>1842</v>
      </c>
      <c r="C18" s="35"/>
      <c r="D18" s="35"/>
      <c r="E18" s="35"/>
      <c r="F18" s="35"/>
      <c r="G18" s="35"/>
      <c r="H18" s="35"/>
      <c r="I18" s="35"/>
      <c r="J18" s="37"/>
    </row>
    <row r="19" spans="1:10" x14ac:dyDescent="0.25">
      <c r="A19" s="33"/>
      <c r="B19" s="38" t="s">
        <v>25</v>
      </c>
      <c r="C19" s="35"/>
      <c r="D19" s="35"/>
      <c r="E19" s="35"/>
      <c r="F19" s="35"/>
      <c r="G19" s="35"/>
      <c r="H19" s="35"/>
      <c r="I19" s="35"/>
      <c r="J19" s="37"/>
    </row>
    <row r="20" spans="1:10" ht="30" customHeight="1" x14ac:dyDescent="0.25">
      <c r="B20" s="183" t="s">
        <v>26</v>
      </c>
      <c r="C20" s="183"/>
      <c r="D20" s="183"/>
      <c r="E20" s="183"/>
      <c r="F20" s="183"/>
      <c r="G20" s="183"/>
      <c r="H20" s="183"/>
      <c r="I20" s="183"/>
      <c r="J20" s="183"/>
    </row>
    <row r="21" spans="1:10" x14ac:dyDescent="0.25">
      <c r="B21" t="s">
        <v>634</v>
      </c>
    </row>
    <row r="24" spans="1:10" x14ac:dyDescent="0.25">
      <c r="B24" t="s">
        <v>28</v>
      </c>
      <c r="H24" t="s">
        <v>28</v>
      </c>
    </row>
    <row r="25" spans="1:10" x14ac:dyDescent="0.25">
      <c r="B25" t="s">
        <v>29</v>
      </c>
      <c r="H25" t="s">
        <v>30</v>
      </c>
    </row>
  </sheetData>
  <autoFilter ref="A15:J21" xr:uid="{00000000-0009-0000-0000-000000000000}"/>
  <mergeCells count="5">
    <mergeCell ref="A6:J6"/>
    <mergeCell ref="I7:J7"/>
    <mergeCell ref="I8:J8"/>
    <mergeCell ref="I9:J9"/>
    <mergeCell ref="B20:J20"/>
  </mergeCells>
  <hyperlinks>
    <hyperlink ref="H5" r:id="rId1" xr:uid="{96E221B5-449A-42D4-9120-79036938ADCE}"/>
  </hyperlinks>
  <pageMargins left="0.2" right="0.1" top="0.25" bottom="0.2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356</vt:i4>
      </vt:variant>
      <vt:variant>
        <vt:lpstr>Named Ranges</vt:lpstr>
      </vt:variant>
      <vt:variant>
        <vt:i4>356</vt:i4>
      </vt:variant>
    </vt:vector>
  </HeadingPairs>
  <TitlesOfParts>
    <vt:vector size="712" baseType="lpstr">
      <vt:lpstr>TCSAS-0123-01 (2)</vt:lpstr>
      <vt:lpstr>TCSAS-0123-01</vt:lpstr>
      <vt:lpstr>Peoples Steel  D</vt:lpstr>
      <vt:lpstr>Peoples Steel </vt:lpstr>
      <vt:lpstr>GFG Old Case</vt:lpstr>
      <vt:lpstr>0822-M001</vt:lpstr>
      <vt:lpstr>0722-26</vt:lpstr>
      <vt:lpstr>0722-25</vt:lpstr>
      <vt:lpstr>Sinv-1219-44 (2)</vt:lpstr>
      <vt:lpstr>Sinv-1219-49</vt:lpstr>
      <vt:lpstr>Sinv-1219-48</vt:lpstr>
      <vt:lpstr>Sinv-1219-47</vt:lpstr>
      <vt:lpstr>Sinv-1219-42 (4)</vt:lpstr>
      <vt:lpstr>Sinv-1219-46</vt:lpstr>
      <vt:lpstr>Sinv-1219-45</vt:lpstr>
      <vt:lpstr>Sinv-1219-44</vt:lpstr>
      <vt:lpstr>Sinv-1219-43</vt:lpstr>
      <vt:lpstr>Sinv-1219-42</vt:lpstr>
      <vt:lpstr>Sinv-1219-41</vt:lpstr>
      <vt:lpstr>Sinv-1219-40</vt:lpstr>
      <vt:lpstr>Sinv-1219-39</vt:lpstr>
      <vt:lpstr>Sinv-1219-38</vt:lpstr>
      <vt:lpstr>Sinv-1219-37</vt:lpstr>
      <vt:lpstr>Sinv-1219-36</vt:lpstr>
      <vt:lpstr>Sinv-1219-35</vt:lpstr>
      <vt:lpstr>Sinv-1219-34</vt:lpstr>
      <vt:lpstr>Sinv-1219-33</vt:lpstr>
      <vt:lpstr>Sinv-1219-32</vt:lpstr>
      <vt:lpstr>Sinv-1219-31</vt:lpstr>
      <vt:lpstr>Sinv-1219-30</vt:lpstr>
      <vt:lpstr>Sinv-1219-29</vt:lpstr>
      <vt:lpstr>Sinv-1219-28</vt:lpstr>
      <vt:lpstr>Sinv-1219-27</vt:lpstr>
      <vt:lpstr>Sinv-1219-25</vt:lpstr>
      <vt:lpstr>Sinv-1219-24</vt:lpstr>
      <vt:lpstr>Sinv-1219-23</vt:lpstr>
      <vt:lpstr>Sinv-1219-22</vt:lpstr>
      <vt:lpstr>Sinv-1219-21</vt:lpstr>
      <vt:lpstr>Sinv-1219-20</vt:lpstr>
      <vt:lpstr>Sinv-1219-19</vt:lpstr>
      <vt:lpstr>Sinv-1219-18</vt:lpstr>
      <vt:lpstr>Sinv-1219-17</vt:lpstr>
      <vt:lpstr>Sinv-1219-16</vt:lpstr>
      <vt:lpstr>Sinv-1219-15</vt:lpstr>
      <vt:lpstr>Sinv-1219-14</vt:lpstr>
      <vt:lpstr>Sinv-1219-13</vt:lpstr>
      <vt:lpstr>Sinv-1219-12</vt:lpstr>
      <vt:lpstr>Sinv-1219-11</vt:lpstr>
      <vt:lpstr>Sinv-1219-10</vt:lpstr>
      <vt:lpstr>Sinv-1219-09</vt:lpstr>
      <vt:lpstr>Sinv-1219-08</vt:lpstr>
      <vt:lpstr>Sinv-1219-07</vt:lpstr>
      <vt:lpstr>Sinv-1219-06</vt:lpstr>
      <vt:lpstr>Sinv-1219-05</vt:lpstr>
      <vt:lpstr>Sinv-1219-04</vt:lpstr>
      <vt:lpstr>Sinv-1219-03</vt:lpstr>
      <vt:lpstr>GST-1219-02</vt:lpstr>
      <vt:lpstr>Sinv-1219-02</vt:lpstr>
      <vt:lpstr>GST-1219-01</vt:lpstr>
      <vt:lpstr>Sinv-1219-01</vt:lpstr>
      <vt:lpstr>Sinv-1119-26</vt:lpstr>
      <vt:lpstr>Sinv-1119-25</vt:lpstr>
      <vt:lpstr>Sinv-1119-24</vt:lpstr>
      <vt:lpstr>Sinv-1119-23</vt:lpstr>
      <vt:lpstr>Sinv-1119-22</vt:lpstr>
      <vt:lpstr>Sinv-1119-21</vt:lpstr>
      <vt:lpstr>Sinv-1119-20</vt:lpstr>
      <vt:lpstr>Sinv-1119-19</vt:lpstr>
      <vt:lpstr>Sinv-1119-18</vt:lpstr>
      <vt:lpstr>Sinv-1119-17</vt:lpstr>
      <vt:lpstr>Sinv-1119-16</vt:lpstr>
      <vt:lpstr>Sinv-1119-15</vt:lpstr>
      <vt:lpstr>Sinv-1119-14</vt:lpstr>
      <vt:lpstr>Sinv-1119-13</vt:lpstr>
      <vt:lpstr>Sinv-1119-12</vt:lpstr>
      <vt:lpstr>Sinv-1119-11</vt:lpstr>
      <vt:lpstr>Sinv-1119-10</vt:lpstr>
      <vt:lpstr>Sinv-1119-09</vt:lpstr>
      <vt:lpstr>Sinv-1119-08</vt:lpstr>
      <vt:lpstr>Sinv-1119-07</vt:lpstr>
      <vt:lpstr>Sinv-1119-06</vt:lpstr>
      <vt:lpstr>Sinv-1119-05</vt:lpstr>
      <vt:lpstr>Sinv-1119-04</vt:lpstr>
      <vt:lpstr>Sinv-1119-03</vt:lpstr>
      <vt:lpstr>Sinv-1119-02</vt:lpstr>
      <vt:lpstr>CN-1119-01</vt:lpstr>
      <vt:lpstr>Sinv-1119-01</vt:lpstr>
      <vt:lpstr>Sinv-1019-32</vt:lpstr>
      <vt:lpstr>Sinv-1019-31</vt:lpstr>
      <vt:lpstr>Sinv-1019-30</vt:lpstr>
      <vt:lpstr>Sinv-1019-29</vt:lpstr>
      <vt:lpstr>Sinv-1019-28</vt:lpstr>
      <vt:lpstr>Sinv-1019-27</vt:lpstr>
      <vt:lpstr>Sinv-1019-26</vt:lpstr>
      <vt:lpstr>Sinv-1019-25</vt:lpstr>
      <vt:lpstr>Sinv-1019-24</vt:lpstr>
      <vt:lpstr>Sinv-1019-23</vt:lpstr>
      <vt:lpstr>Sinv-1019-22</vt:lpstr>
      <vt:lpstr>Sinv-1019-21</vt:lpstr>
      <vt:lpstr>Sinv-1019-20</vt:lpstr>
      <vt:lpstr>Sinv-1019-19</vt:lpstr>
      <vt:lpstr>Sinv-1019-18</vt:lpstr>
      <vt:lpstr>Sinv-1019-17</vt:lpstr>
      <vt:lpstr>Sinv-1019-16</vt:lpstr>
      <vt:lpstr>Sinv-1019-15</vt:lpstr>
      <vt:lpstr>Sinv-1019-14</vt:lpstr>
      <vt:lpstr>Sinv-1019-13</vt:lpstr>
      <vt:lpstr>Sinv-1019-12</vt:lpstr>
      <vt:lpstr>CN-1019-001</vt:lpstr>
      <vt:lpstr>Sinv-1019-11</vt:lpstr>
      <vt:lpstr>Sinv-1019-10</vt:lpstr>
      <vt:lpstr>Sinv-1019-09</vt:lpstr>
      <vt:lpstr>Sinv-1019-08</vt:lpstr>
      <vt:lpstr>Sinv-1019-07</vt:lpstr>
      <vt:lpstr>Sinv-1019-06</vt:lpstr>
      <vt:lpstr>Sinv-1019-05</vt:lpstr>
      <vt:lpstr>Sinv-1019-04</vt:lpstr>
      <vt:lpstr>Sinv-1019-03</vt:lpstr>
      <vt:lpstr>Sinv-1019-02</vt:lpstr>
      <vt:lpstr>Sinv-1019-01</vt:lpstr>
      <vt:lpstr>Sinv-0919-38</vt:lpstr>
      <vt:lpstr>Sinv-0919-37</vt:lpstr>
      <vt:lpstr>Sinv-0919-36</vt:lpstr>
      <vt:lpstr>Sinv-0919-35</vt:lpstr>
      <vt:lpstr>Sinv-0919-34</vt:lpstr>
      <vt:lpstr>Sinv-0919-33</vt:lpstr>
      <vt:lpstr>Sinv-0919-32</vt:lpstr>
      <vt:lpstr>Sinv-0919-31</vt:lpstr>
      <vt:lpstr>Sinv-0919-30</vt:lpstr>
      <vt:lpstr>Sinv-0919-29</vt:lpstr>
      <vt:lpstr>Sinv-0919-28</vt:lpstr>
      <vt:lpstr>Sinv-0919-27</vt:lpstr>
      <vt:lpstr>Sinv-0919-26</vt:lpstr>
      <vt:lpstr>Sinv-0919-25</vt:lpstr>
      <vt:lpstr>Sinv-0919-24</vt:lpstr>
      <vt:lpstr>Sinv-0919-23</vt:lpstr>
      <vt:lpstr>Sinv-0919-22</vt:lpstr>
      <vt:lpstr>Sinv-0919-21</vt:lpstr>
      <vt:lpstr>Sinv-0919-20</vt:lpstr>
      <vt:lpstr>Sinv-0919-19</vt:lpstr>
      <vt:lpstr>Sinv-0919-18</vt:lpstr>
      <vt:lpstr>Sinv-0919-17</vt:lpstr>
      <vt:lpstr>Sinv-0919-16</vt:lpstr>
      <vt:lpstr>Sinv-0919-15</vt:lpstr>
      <vt:lpstr>Sinv-0919-14</vt:lpstr>
      <vt:lpstr>Sinv-0919-13</vt:lpstr>
      <vt:lpstr>Sinv-0919-12</vt:lpstr>
      <vt:lpstr>Sinv-0919-11</vt:lpstr>
      <vt:lpstr>Sinv-0919-10</vt:lpstr>
      <vt:lpstr>Sinv-0919-09</vt:lpstr>
      <vt:lpstr>Sinv-0919-08</vt:lpstr>
      <vt:lpstr>Sinv-0919-07</vt:lpstr>
      <vt:lpstr>Sinv-0919-06</vt:lpstr>
      <vt:lpstr>Sinv-0919-05</vt:lpstr>
      <vt:lpstr>Sinv-0919-04</vt:lpstr>
      <vt:lpstr>Sinv-0919-03</vt:lpstr>
      <vt:lpstr>Sinv-0919-02</vt:lpstr>
      <vt:lpstr>Sinv-0919-01</vt:lpstr>
      <vt:lpstr>Sinv-0819-21</vt:lpstr>
      <vt:lpstr>Sinv-0819-20</vt:lpstr>
      <vt:lpstr>Sinv-0819-19</vt:lpstr>
      <vt:lpstr>Sinv-0819-18</vt:lpstr>
      <vt:lpstr>Sinv-0819-17</vt:lpstr>
      <vt:lpstr>Sinv-0819-16</vt:lpstr>
      <vt:lpstr>Sinv-0819-15</vt:lpstr>
      <vt:lpstr>Sinv-0819-14</vt:lpstr>
      <vt:lpstr>Sinv-0819-13</vt:lpstr>
      <vt:lpstr>Sinv-0819-12</vt:lpstr>
      <vt:lpstr>Sinv-0819-11</vt:lpstr>
      <vt:lpstr>Sinv-0819-10</vt:lpstr>
      <vt:lpstr>Sinv-0819-09</vt:lpstr>
      <vt:lpstr>Sinv-0819-08</vt:lpstr>
      <vt:lpstr>Sinv-0819-07</vt:lpstr>
      <vt:lpstr>Sinv-0819-06</vt:lpstr>
      <vt:lpstr>Sinv-0819-05</vt:lpstr>
      <vt:lpstr>Sinv-0819-04</vt:lpstr>
      <vt:lpstr>Sinv-0819-03</vt:lpstr>
      <vt:lpstr>Sinv-0819-02</vt:lpstr>
      <vt:lpstr>Sinv-0819-01</vt:lpstr>
      <vt:lpstr>Sinv-0719-16</vt:lpstr>
      <vt:lpstr>Sinv-0719-15</vt:lpstr>
      <vt:lpstr>Sinv-0719-14</vt:lpstr>
      <vt:lpstr>Sinv-0719-13</vt:lpstr>
      <vt:lpstr>Sinv-0719-12</vt:lpstr>
      <vt:lpstr>Sinv-0719-11</vt:lpstr>
      <vt:lpstr>Sinv-0719-10</vt:lpstr>
      <vt:lpstr>Sinv-0719-09</vt:lpstr>
      <vt:lpstr>Sinv-0719-08</vt:lpstr>
      <vt:lpstr>Sinv-0719-07</vt:lpstr>
      <vt:lpstr>Sinv-0719-06</vt:lpstr>
      <vt:lpstr>Sinv-0719-05</vt:lpstr>
      <vt:lpstr>Sinv-0719-04</vt:lpstr>
      <vt:lpstr>Sinv-0719-03</vt:lpstr>
      <vt:lpstr>Sinv-0719-02</vt:lpstr>
      <vt:lpstr>Sinv-0719-01</vt:lpstr>
      <vt:lpstr>Sinv-0619-09</vt:lpstr>
      <vt:lpstr>Sinv-0619-08</vt:lpstr>
      <vt:lpstr>Sinv-0619-07</vt:lpstr>
      <vt:lpstr>Sinv-0619-06</vt:lpstr>
      <vt:lpstr>Sinv-0619-05</vt:lpstr>
      <vt:lpstr>Sinv-0619-04</vt:lpstr>
      <vt:lpstr>Sinv-0619-03</vt:lpstr>
      <vt:lpstr>Sinv-0619-02</vt:lpstr>
      <vt:lpstr>Sinv-0619-01</vt:lpstr>
      <vt:lpstr>Sinv-0519-11</vt:lpstr>
      <vt:lpstr>Sinv-0519-10</vt:lpstr>
      <vt:lpstr>Sinv-0519-09</vt:lpstr>
      <vt:lpstr>Sinv-0519-08</vt:lpstr>
      <vt:lpstr>Sinv-0519-07</vt:lpstr>
      <vt:lpstr>Sinv-0519-06</vt:lpstr>
      <vt:lpstr>Sinv-0519-05</vt:lpstr>
      <vt:lpstr>Sinv-0519-04</vt:lpstr>
      <vt:lpstr>Sinv-0519-03</vt:lpstr>
      <vt:lpstr>Sinv-0519-02</vt:lpstr>
      <vt:lpstr>Sinv-0519-01</vt:lpstr>
      <vt:lpstr>Sinv-0519-01C</vt:lpstr>
      <vt:lpstr>Sinv-0419-14</vt:lpstr>
      <vt:lpstr>Sinv-0419-13</vt:lpstr>
      <vt:lpstr>Sinv-0419-12</vt:lpstr>
      <vt:lpstr>Sinv-0419-11</vt:lpstr>
      <vt:lpstr>Sinv-0419-10</vt:lpstr>
      <vt:lpstr>Sinv-0419-09</vt:lpstr>
      <vt:lpstr>Sinv-0419-08</vt:lpstr>
      <vt:lpstr>Sinv-0419-07</vt:lpstr>
      <vt:lpstr>Sinv-0419-06</vt:lpstr>
      <vt:lpstr>Sinv-0419-05</vt:lpstr>
      <vt:lpstr>Sinv-0419-04</vt:lpstr>
      <vt:lpstr>Sinv-0419-03</vt:lpstr>
      <vt:lpstr>Sinv-0419-02</vt:lpstr>
      <vt:lpstr>Sinv-0419-01</vt:lpstr>
      <vt:lpstr>Sinv-0319-07</vt:lpstr>
      <vt:lpstr>Sinv-0319-06</vt:lpstr>
      <vt:lpstr>Sinv-0319-05</vt:lpstr>
      <vt:lpstr>Sinv-0319-04</vt:lpstr>
      <vt:lpstr>Sinv-0319-03</vt:lpstr>
      <vt:lpstr>Sinv-0319-02</vt:lpstr>
      <vt:lpstr>Sinv-0319-01</vt:lpstr>
      <vt:lpstr>Sinv-0219-08</vt:lpstr>
      <vt:lpstr>Sinv-0219-07</vt:lpstr>
      <vt:lpstr>Sinv-0219-06</vt:lpstr>
      <vt:lpstr>Sinv-0219-05</vt:lpstr>
      <vt:lpstr>Sinv-0219-04</vt:lpstr>
      <vt:lpstr>Sinv-0219-03</vt:lpstr>
      <vt:lpstr>Sinv-0219-02</vt:lpstr>
      <vt:lpstr>Sinv-0219-01</vt:lpstr>
      <vt:lpstr>Sinv-0119-04</vt:lpstr>
      <vt:lpstr>Sinv-0119-03</vt:lpstr>
      <vt:lpstr>Sinv-0119-02</vt:lpstr>
      <vt:lpstr>Sinv-0119-01</vt:lpstr>
      <vt:lpstr>Sinv-1218-03</vt:lpstr>
      <vt:lpstr>Sinv-1218-02</vt:lpstr>
      <vt:lpstr>Sinv-1218-01</vt:lpstr>
      <vt:lpstr>Sinv-1118-06</vt:lpstr>
      <vt:lpstr>Sinv-1118-05</vt:lpstr>
      <vt:lpstr>Sinv-1118-04</vt:lpstr>
      <vt:lpstr>Sinv-1118-03</vt:lpstr>
      <vt:lpstr>Sinv-1118-02</vt:lpstr>
      <vt:lpstr>Sinv-1118-01</vt:lpstr>
      <vt:lpstr>Sinv-1018-09</vt:lpstr>
      <vt:lpstr>Sinv-1018-08</vt:lpstr>
      <vt:lpstr>Sinv-1018-07</vt:lpstr>
      <vt:lpstr>Sinv-1018-06</vt:lpstr>
      <vt:lpstr>Sinv-1018-05</vt:lpstr>
      <vt:lpstr>Sinv-1018-04</vt:lpstr>
      <vt:lpstr>Sinv-1018-03</vt:lpstr>
      <vt:lpstr>Sinv-1018-02</vt:lpstr>
      <vt:lpstr>Sinv-1018-01</vt:lpstr>
      <vt:lpstr>Sinv-0918-003</vt:lpstr>
      <vt:lpstr>Sinv-0918-002</vt:lpstr>
      <vt:lpstr>Sinv-0918-001</vt:lpstr>
      <vt:lpstr>Sinv-0818-003</vt:lpstr>
      <vt:lpstr>Sinv-0818-001</vt:lpstr>
      <vt:lpstr>Sinv-0718-002</vt:lpstr>
      <vt:lpstr>Sinv-0718-001</vt:lpstr>
      <vt:lpstr>Sinv-0618-004</vt:lpstr>
      <vt:lpstr>Sinv-0618-003</vt:lpstr>
      <vt:lpstr>Sinv-0618-002</vt:lpstr>
      <vt:lpstr>Sinv-0618-001</vt:lpstr>
      <vt:lpstr>Sinv-0418-003</vt:lpstr>
      <vt:lpstr>Sinv-0418-002</vt:lpstr>
      <vt:lpstr>Sinv-0418-001</vt:lpstr>
      <vt:lpstr>Sinv-0318-003</vt:lpstr>
      <vt:lpstr>Sinv-0318-002</vt:lpstr>
      <vt:lpstr>Sinv-0318-001</vt:lpstr>
      <vt:lpstr>Sinv-0218-002a</vt:lpstr>
      <vt:lpstr>Sinv-0218-004</vt:lpstr>
      <vt:lpstr>Sinv-0218-003</vt:lpstr>
      <vt:lpstr>Sinv-0218-002</vt:lpstr>
      <vt:lpstr>Sinv-0218-001</vt:lpstr>
      <vt:lpstr>Sinv-0118-005</vt:lpstr>
      <vt:lpstr>Sinv-0118-004</vt:lpstr>
      <vt:lpstr>Sinv-0118-003</vt:lpstr>
      <vt:lpstr>Sinv-0118-002</vt:lpstr>
      <vt:lpstr>Sinv-0118-001</vt:lpstr>
      <vt:lpstr>Sinv-1217-003</vt:lpstr>
      <vt:lpstr>Sinv-1217-002</vt:lpstr>
      <vt:lpstr>Sinv-1217-001</vt:lpstr>
      <vt:lpstr>Sinv-1117-004</vt:lpstr>
      <vt:lpstr>Sinv-1117-003</vt:lpstr>
      <vt:lpstr>Sinv-1117-002</vt:lpstr>
      <vt:lpstr>Sinv-1117-001</vt:lpstr>
      <vt:lpstr>Sinv-1017-006</vt:lpstr>
      <vt:lpstr>Sinv-1017-005</vt:lpstr>
      <vt:lpstr>Sinv-1017-004</vt:lpstr>
      <vt:lpstr>Sinv-1017-003</vt:lpstr>
      <vt:lpstr>Sinv-1017-002</vt:lpstr>
      <vt:lpstr>Sinv-1017-001</vt:lpstr>
      <vt:lpstr>Sinv-0917-002</vt:lpstr>
      <vt:lpstr>Sinv-0917-001</vt:lpstr>
      <vt:lpstr>Sinv-0817-004</vt:lpstr>
      <vt:lpstr>Sinv-0817-003</vt:lpstr>
      <vt:lpstr>Sinv-0817-002</vt:lpstr>
      <vt:lpstr>Sinv-0817-001</vt:lpstr>
      <vt:lpstr>Sinv-0717-007</vt:lpstr>
      <vt:lpstr>Sinv-0717-006</vt:lpstr>
      <vt:lpstr>Sinv-0717-005</vt:lpstr>
      <vt:lpstr>Sinv-0717-004</vt:lpstr>
      <vt:lpstr>Sinv-0717-003</vt:lpstr>
      <vt:lpstr>Sinv-0717-002</vt:lpstr>
      <vt:lpstr>Sinv-0717-001</vt:lpstr>
      <vt:lpstr>Sinv-0617-004</vt:lpstr>
      <vt:lpstr>Sinv-0617-003</vt:lpstr>
      <vt:lpstr>Sinv-0617-002</vt:lpstr>
      <vt:lpstr>Sinv-0617-001</vt:lpstr>
      <vt:lpstr>Sinv-0517-007</vt:lpstr>
      <vt:lpstr>Sinv-0517-006</vt:lpstr>
      <vt:lpstr>Sinv-0517-005</vt:lpstr>
      <vt:lpstr>Sinv-0517-004</vt:lpstr>
      <vt:lpstr>Sinv-0517-003</vt:lpstr>
      <vt:lpstr>Sinv-0517-002</vt:lpstr>
      <vt:lpstr>Sinv-0517-001</vt:lpstr>
      <vt:lpstr>Sinv-0417-002</vt:lpstr>
      <vt:lpstr>Sinv-0417-001</vt:lpstr>
      <vt:lpstr>Sinv-0317-009</vt:lpstr>
      <vt:lpstr>Sinv-0317-008</vt:lpstr>
      <vt:lpstr>Sinv-0317-007</vt:lpstr>
      <vt:lpstr>Sinv-0317-006</vt:lpstr>
      <vt:lpstr>Sinv-0317-005</vt:lpstr>
      <vt:lpstr>Sinv-0317-004</vt:lpstr>
      <vt:lpstr>Sinv-0317-003</vt:lpstr>
      <vt:lpstr>Sinv-0317-002</vt:lpstr>
      <vt:lpstr>Sinv-0317-001</vt:lpstr>
      <vt:lpstr>Sinv-0217-002</vt:lpstr>
      <vt:lpstr>Sinv-0217-001</vt:lpstr>
      <vt:lpstr>Sinv-0117-012</vt:lpstr>
      <vt:lpstr>Sinv-0117-011</vt:lpstr>
      <vt:lpstr>Sinv-0117-010</vt:lpstr>
      <vt:lpstr>Sinv-0117-009</vt:lpstr>
      <vt:lpstr>Sinv-0117-008</vt:lpstr>
      <vt:lpstr>Sinv-0117-007</vt:lpstr>
      <vt:lpstr>Sinv-0117-006</vt:lpstr>
      <vt:lpstr>Sinv-0117-005</vt:lpstr>
      <vt:lpstr>Sinv-0117-004</vt:lpstr>
      <vt:lpstr>Sinv-0117-003</vt:lpstr>
      <vt:lpstr>Sinv-0117-002</vt:lpstr>
      <vt:lpstr>Sinv-0117-001</vt:lpstr>
      <vt:lpstr>'0722-25'!Print_Titles</vt:lpstr>
      <vt:lpstr>'0722-26'!Print_Titles</vt:lpstr>
      <vt:lpstr>'0822-M001'!Print_Titles</vt:lpstr>
      <vt:lpstr>'CN-1019-001'!Print_Titles</vt:lpstr>
      <vt:lpstr>'CN-1119-01'!Print_Titles</vt:lpstr>
      <vt:lpstr>'GFG Old Case'!Print_Titles</vt:lpstr>
      <vt:lpstr>'GST-1219-01'!Print_Titles</vt:lpstr>
      <vt:lpstr>'GST-1219-02'!Print_Titles</vt:lpstr>
      <vt:lpstr>'Peoples Steel '!Print_Titles</vt:lpstr>
      <vt:lpstr>'Peoples Steel  D'!Print_Titles</vt:lpstr>
      <vt:lpstr>'Sinv-0117-001'!Print_Titles</vt:lpstr>
      <vt:lpstr>'Sinv-0117-002'!Print_Titles</vt:lpstr>
      <vt:lpstr>'Sinv-0117-003'!Print_Titles</vt:lpstr>
      <vt:lpstr>'Sinv-0117-004'!Print_Titles</vt:lpstr>
      <vt:lpstr>'Sinv-0117-005'!Print_Titles</vt:lpstr>
      <vt:lpstr>'Sinv-0117-006'!Print_Titles</vt:lpstr>
      <vt:lpstr>'Sinv-0117-007'!Print_Titles</vt:lpstr>
      <vt:lpstr>'Sinv-0117-008'!Print_Titles</vt:lpstr>
      <vt:lpstr>'Sinv-0117-009'!Print_Titles</vt:lpstr>
      <vt:lpstr>'Sinv-0117-010'!Print_Titles</vt:lpstr>
      <vt:lpstr>'Sinv-0117-011'!Print_Titles</vt:lpstr>
      <vt:lpstr>'Sinv-0117-012'!Print_Titles</vt:lpstr>
      <vt:lpstr>'Sinv-0118-001'!Print_Titles</vt:lpstr>
      <vt:lpstr>'Sinv-0118-002'!Print_Titles</vt:lpstr>
      <vt:lpstr>'Sinv-0118-003'!Print_Titles</vt:lpstr>
      <vt:lpstr>'Sinv-0118-004'!Print_Titles</vt:lpstr>
      <vt:lpstr>'Sinv-0118-005'!Print_Titles</vt:lpstr>
      <vt:lpstr>'Sinv-0119-01'!Print_Titles</vt:lpstr>
      <vt:lpstr>'Sinv-0119-02'!Print_Titles</vt:lpstr>
      <vt:lpstr>'Sinv-0119-03'!Print_Titles</vt:lpstr>
      <vt:lpstr>'Sinv-0119-04'!Print_Titles</vt:lpstr>
      <vt:lpstr>'Sinv-0217-001'!Print_Titles</vt:lpstr>
      <vt:lpstr>'Sinv-0217-002'!Print_Titles</vt:lpstr>
      <vt:lpstr>'Sinv-0218-001'!Print_Titles</vt:lpstr>
      <vt:lpstr>'Sinv-0218-002'!Print_Titles</vt:lpstr>
      <vt:lpstr>'Sinv-0218-002a'!Print_Titles</vt:lpstr>
      <vt:lpstr>'Sinv-0218-003'!Print_Titles</vt:lpstr>
      <vt:lpstr>'Sinv-0218-004'!Print_Titles</vt:lpstr>
      <vt:lpstr>'Sinv-0219-01'!Print_Titles</vt:lpstr>
      <vt:lpstr>'Sinv-0219-02'!Print_Titles</vt:lpstr>
      <vt:lpstr>'Sinv-0219-03'!Print_Titles</vt:lpstr>
      <vt:lpstr>'Sinv-0219-04'!Print_Titles</vt:lpstr>
      <vt:lpstr>'Sinv-0219-05'!Print_Titles</vt:lpstr>
      <vt:lpstr>'Sinv-0219-06'!Print_Titles</vt:lpstr>
      <vt:lpstr>'Sinv-0219-07'!Print_Titles</vt:lpstr>
      <vt:lpstr>'Sinv-0219-08'!Print_Titles</vt:lpstr>
      <vt:lpstr>'Sinv-0317-001'!Print_Titles</vt:lpstr>
      <vt:lpstr>'Sinv-0317-002'!Print_Titles</vt:lpstr>
      <vt:lpstr>'Sinv-0317-003'!Print_Titles</vt:lpstr>
      <vt:lpstr>'Sinv-0317-004'!Print_Titles</vt:lpstr>
      <vt:lpstr>'Sinv-0317-005'!Print_Titles</vt:lpstr>
      <vt:lpstr>'Sinv-0317-006'!Print_Titles</vt:lpstr>
      <vt:lpstr>'Sinv-0317-007'!Print_Titles</vt:lpstr>
      <vt:lpstr>'Sinv-0317-008'!Print_Titles</vt:lpstr>
      <vt:lpstr>'Sinv-0317-009'!Print_Titles</vt:lpstr>
      <vt:lpstr>'Sinv-0318-001'!Print_Titles</vt:lpstr>
      <vt:lpstr>'Sinv-0318-002'!Print_Titles</vt:lpstr>
      <vt:lpstr>'Sinv-0318-003'!Print_Titles</vt:lpstr>
      <vt:lpstr>'Sinv-0319-01'!Print_Titles</vt:lpstr>
      <vt:lpstr>'Sinv-0319-02'!Print_Titles</vt:lpstr>
      <vt:lpstr>'Sinv-0319-03'!Print_Titles</vt:lpstr>
      <vt:lpstr>'Sinv-0319-04'!Print_Titles</vt:lpstr>
      <vt:lpstr>'Sinv-0319-05'!Print_Titles</vt:lpstr>
      <vt:lpstr>'Sinv-0319-06'!Print_Titles</vt:lpstr>
      <vt:lpstr>'Sinv-0319-07'!Print_Titles</vt:lpstr>
      <vt:lpstr>'Sinv-0417-001'!Print_Titles</vt:lpstr>
      <vt:lpstr>'Sinv-0417-002'!Print_Titles</vt:lpstr>
      <vt:lpstr>'Sinv-0418-001'!Print_Titles</vt:lpstr>
      <vt:lpstr>'Sinv-0418-002'!Print_Titles</vt:lpstr>
      <vt:lpstr>'Sinv-0418-003'!Print_Titles</vt:lpstr>
      <vt:lpstr>'Sinv-0419-01'!Print_Titles</vt:lpstr>
      <vt:lpstr>'Sinv-0419-02'!Print_Titles</vt:lpstr>
      <vt:lpstr>'Sinv-0419-03'!Print_Titles</vt:lpstr>
      <vt:lpstr>'Sinv-0419-04'!Print_Titles</vt:lpstr>
      <vt:lpstr>'Sinv-0419-05'!Print_Titles</vt:lpstr>
      <vt:lpstr>'Sinv-0419-06'!Print_Titles</vt:lpstr>
      <vt:lpstr>'Sinv-0419-07'!Print_Titles</vt:lpstr>
      <vt:lpstr>'Sinv-0419-08'!Print_Titles</vt:lpstr>
      <vt:lpstr>'Sinv-0419-09'!Print_Titles</vt:lpstr>
      <vt:lpstr>'Sinv-0419-10'!Print_Titles</vt:lpstr>
      <vt:lpstr>'Sinv-0419-11'!Print_Titles</vt:lpstr>
      <vt:lpstr>'Sinv-0419-12'!Print_Titles</vt:lpstr>
      <vt:lpstr>'Sinv-0419-13'!Print_Titles</vt:lpstr>
      <vt:lpstr>'Sinv-0419-14'!Print_Titles</vt:lpstr>
      <vt:lpstr>'Sinv-0517-001'!Print_Titles</vt:lpstr>
      <vt:lpstr>'Sinv-0517-002'!Print_Titles</vt:lpstr>
      <vt:lpstr>'Sinv-0517-003'!Print_Titles</vt:lpstr>
      <vt:lpstr>'Sinv-0517-004'!Print_Titles</vt:lpstr>
      <vt:lpstr>'Sinv-0517-005'!Print_Titles</vt:lpstr>
      <vt:lpstr>'Sinv-0517-006'!Print_Titles</vt:lpstr>
      <vt:lpstr>'Sinv-0517-007'!Print_Titles</vt:lpstr>
      <vt:lpstr>'Sinv-0519-01'!Print_Titles</vt:lpstr>
      <vt:lpstr>'Sinv-0519-01C'!Print_Titles</vt:lpstr>
      <vt:lpstr>'Sinv-0519-02'!Print_Titles</vt:lpstr>
      <vt:lpstr>'Sinv-0519-03'!Print_Titles</vt:lpstr>
      <vt:lpstr>'Sinv-0519-04'!Print_Titles</vt:lpstr>
      <vt:lpstr>'Sinv-0519-05'!Print_Titles</vt:lpstr>
      <vt:lpstr>'Sinv-0519-06'!Print_Titles</vt:lpstr>
      <vt:lpstr>'Sinv-0519-07'!Print_Titles</vt:lpstr>
      <vt:lpstr>'Sinv-0519-08'!Print_Titles</vt:lpstr>
      <vt:lpstr>'Sinv-0519-09'!Print_Titles</vt:lpstr>
      <vt:lpstr>'Sinv-0519-10'!Print_Titles</vt:lpstr>
      <vt:lpstr>'Sinv-0519-11'!Print_Titles</vt:lpstr>
      <vt:lpstr>'Sinv-0617-001'!Print_Titles</vt:lpstr>
      <vt:lpstr>'Sinv-0617-002'!Print_Titles</vt:lpstr>
      <vt:lpstr>'Sinv-0617-003'!Print_Titles</vt:lpstr>
      <vt:lpstr>'Sinv-0617-004'!Print_Titles</vt:lpstr>
      <vt:lpstr>'Sinv-0618-001'!Print_Titles</vt:lpstr>
      <vt:lpstr>'Sinv-0618-002'!Print_Titles</vt:lpstr>
      <vt:lpstr>'Sinv-0618-003'!Print_Titles</vt:lpstr>
      <vt:lpstr>'Sinv-0618-004'!Print_Titles</vt:lpstr>
      <vt:lpstr>'Sinv-0619-01'!Print_Titles</vt:lpstr>
      <vt:lpstr>'Sinv-0619-02'!Print_Titles</vt:lpstr>
      <vt:lpstr>'Sinv-0619-03'!Print_Titles</vt:lpstr>
      <vt:lpstr>'Sinv-0619-04'!Print_Titles</vt:lpstr>
      <vt:lpstr>'Sinv-0619-05'!Print_Titles</vt:lpstr>
      <vt:lpstr>'Sinv-0619-06'!Print_Titles</vt:lpstr>
      <vt:lpstr>'Sinv-0619-07'!Print_Titles</vt:lpstr>
      <vt:lpstr>'Sinv-0619-08'!Print_Titles</vt:lpstr>
      <vt:lpstr>'Sinv-0619-09'!Print_Titles</vt:lpstr>
      <vt:lpstr>'Sinv-0717-001'!Print_Titles</vt:lpstr>
      <vt:lpstr>'Sinv-0717-002'!Print_Titles</vt:lpstr>
      <vt:lpstr>'Sinv-0717-003'!Print_Titles</vt:lpstr>
      <vt:lpstr>'Sinv-0717-004'!Print_Titles</vt:lpstr>
      <vt:lpstr>'Sinv-0717-005'!Print_Titles</vt:lpstr>
      <vt:lpstr>'Sinv-0717-006'!Print_Titles</vt:lpstr>
      <vt:lpstr>'Sinv-0717-007'!Print_Titles</vt:lpstr>
      <vt:lpstr>'Sinv-0718-001'!Print_Titles</vt:lpstr>
      <vt:lpstr>'Sinv-0718-002'!Print_Titles</vt:lpstr>
      <vt:lpstr>'Sinv-0719-01'!Print_Titles</vt:lpstr>
      <vt:lpstr>'Sinv-0719-02'!Print_Titles</vt:lpstr>
      <vt:lpstr>'Sinv-0719-03'!Print_Titles</vt:lpstr>
      <vt:lpstr>'Sinv-0719-04'!Print_Titles</vt:lpstr>
      <vt:lpstr>'Sinv-0719-05'!Print_Titles</vt:lpstr>
      <vt:lpstr>'Sinv-0719-06'!Print_Titles</vt:lpstr>
      <vt:lpstr>'Sinv-0719-07'!Print_Titles</vt:lpstr>
      <vt:lpstr>'Sinv-0719-08'!Print_Titles</vt:lpstr>
      <vt:lpstr>'Sinv-0719-09'!Print_Titles</vt:lpstr>
      <vt:lpstr>'Sinv-0719-10'!Print_Titles</vt:lpstr>
      <vt:lpstr>'Sinv-0719-11'!Print_Titles</vt:lpstr>
      <vt:lpstr>'Sinv-0719-12'!Print_Titles</vt:lpstr>
      <vt:lpstr>'Sinv-0719-13'!Print_Titles</vt:lpstr>
      <vt:lpstr>'Sinv-0719-14'!Print_Titles</vt:lpstr>
      <vt:lpstr>'Sinv-0719-15'!Print_Titles</vt:lpstr>
      <vt:lpstr>'Sinv-0719-16'!Print_Titles</vt:lpstr>
      <vt:lpstr>'Sinv-0817-001'!Print_Titles</vt:lpstr>
      <vt:lpstr>'Sinv-0817-002'!Print_Titles</vt:lpstr>
      <vt:lpstr>'Sinv-0817-003'!Print_Titles</vt:lpstr>
      <vt:lpstr>'Sinv-0817-004'!Print_Titles</vt:lpstr>
      <vt:lpstr>'Sinv-0818-001'!Print_Titles</vt:lpstr>
      <vt:lpstr>'Sinv-0818-003'!Print_Titles</vt:lpstr>
      <vt:lpstr>'Sinv-0819-01'!Print_Titles</vt:lpstr>
      <vt:lpstr>'Sinv-0819-02'!Print_Titles</vt:lpstr>
      <vt:lpstr>'Sinv-0819-03'!Print_Titles</vt:lpstr>
      <vt:lpstr>'Sinv-0819-04'!Print_Titles</vt:lpstr>
      <vt:lpstr>'Sinv-0819-05'!Print_Titles</vt:lpstr>
      <vt:lpstr>'Sinv-0819-06'!Print_Titles</vt:lpstr>
      <vt:lpstr>'Sinv-0819-07'!Print_Titles</vt:lpstr>
      <vt:lpstr>'Sinv-0819-08'!Print_Titles</vt:lpstr>
      <vt:lpstr>'Sinv-0819-09'!Print_Titles</vt:lpstr>
      <vt:lpstr>'Sinv-0819-10'!Print_Titles</vt:lpstr>
      <vt:lpstr>'Sinv-0819-11'!Print_Titles</vt:lpstr>
      <vt:lpstr>'Sinv-0819-12'!Print_Titles</vt:lpstr>
      <vt:lpstr>'Sinv-0819-13'!Print_Titles</vt:lpstr>
      <vt:lpstr>'Sinv-0819-14'!Print_Titles</vt:lpstr>
      <vt:lpstr>'Sinv-0819-15'!Print_Titles</vt:lpstr>
      <vt:lpstr>'Sinv-0819-16'!Print_Titles</vt:lpstr>
      <vt:lpstr>'Sinv-0819-17'!Print_Titles</vt:lpstr>
      <vt:lpstr>'Sinv-0819-18'!Print_Titles</vt:lpstr>
      <vt:lpstr>'Sinv-0819-19'!Print_Titles</vt:lpstr>
      <vt:lpstr>'Sinv-0819-20'!Print_Titles</vt:lpstr>
      <vt:lpstr>'Sinv-0819-21'!Print_Titles</vt:lpstr>
      <vt:lpstr>'Sinv-0917-001'!Print_Titles</vt:lpstr>
      <vt:lpstr>'Sinv-0917-002'!Print_Titles</vt:lpstr>
      <vt:lpstr>'Sinv-0918-001'!Print_Titles</vt:lpstr>
      <vt:lpstr>'Sinv-0918-002'!Print_Titles</vt:lpstr>
      <vt:lpstr>'Sinv-0918-003'!Print_Titles</vt:lpstr>
      <vt:lpstr>'Sinv-0919-01'!Print_Titles</vt:lpstr>
      <vt:lpstr>'Sinv-0919-02'!Print_Titles</vt:lpstr>
      <vt:lpstr>'Sinv-0919-03'!Print_Titles</vt:lpstr>
      <vt:lpstr>'Sinv-0919-04'!Print_Titles</vt:lpstr>
      <vt:lpstr>'Sinv-0919-05'!Print_Titles</vt:lpstr>
      <vt:lpstr>'Sinv-0919-06'!Print_Titles</vt:lpstr>
      <vt:lpstr>'Sinv-0919-07'!Print_Titles</vt:lpstr>
      <vt:lpstr>'Sinv-0919-08'!Print_Titles</vt:lpstr>
      <vt:lpstr>'Sinv-0919-09'!Print_Titles</vt:lpstr>
      <vt:lpstr>'Sinv-0919-10'!Print_Titles</vt:lpstr>
      <vt:lpstr>'Sinv-0919-11'!Print_Titles</vt:lpstr>
      <vt:lpstr>'Sinv-0919-12'!Print_Titles</vt:lpstr>
      <vt:lpstr>'Sinv-0919-13'!Print_Titles</vt:lpstr>
      <vt:lpstr>'Sinv-0919-14'!Print_Titles</vt:lpstr>
      <vt:lpstr>'Sinv-0919-15'!Print_Titles</vt:lpstr>
      <vt:lpstr>'Sinv-0919-16'!Print_Titles</vt:lpstr>
      <vt:lpstr>'Sinv-0919-17'!Print_Titles</vt:lpstr>
      <vt:lpstr>'Sinv-0919-18'!Print_Titles</vt:lpstr>
      <vt:lpstr>'Sinv-0919-19'!Print_Titles</vt:lpstr>
      <vt:lpstr>'Sinv-0919-20'!Print_Titles</vt:lpstr>
      <vt:lpstr>'Sinv-0919-21'!Print_Titles</vt:lpstr>
      <vt:lpstr>'Sinv-0919-22'!Print_Titles</vt:lpstr>
      <vt:lpstr>'Sinv-0919-23'!Print_Titles</vt:lpstr>
      <vt:lpstr>'Sinv-0919-24'!Print_Titles</vt:lpstr>
      <vt:lpstr>'Sinv-0919-25'!Print_Titles</vt:lpstr>
      <vt:lpstr>'Sinv-0919-26'!Print_Titles</vt:lpstr>
      <vt:lpstr>'Sinv-0919-27'!Print_Titles</vt:lpstr>
      <vt:lpstr>'Sinv-0919-28'!Print_Titles</vt:lpstr>
      <vt:lpstr>'Sinv-0919-29'!Print_Titles</vt:lpstr>
      <vt:lpstr>'Sinv-0919-30'!Print_Titles</vt:lpstr>
      <vt:lpstr>'Sinv-0919-31'!Print_Titles</vt:lpstr>
      <vt:lpstr>'Sinv-0919-32'!Print_Titles</vt:lpstr>
      <vt:lpstr>'Sinv-0919-33'!Print_Titles</vt:lpstr>
      <vt:lpstr>'Sinv-0919-34'!Print_Titles</vt:lpstr>
      <vt:lpstr>'Sinv-0919-35'!Print_Titles</vt:lpstr>
      <vt:lpstr>'Sinv-0919-36'!Print_Titles</vt:lpstr>
      <vt:lpstr>'Sinv-0919-37'!Print_Titles</vt:lpstr>
      <vt:lpstr>'Sinv-0919-38'!Print_Titles</vt:lpstr>
      <vt:lpstr>'Sinv-1017-001'!Print_Titles</vt:lpstr>
      <vt:lpstr>'Sinv-1017-002'!Print_Titles</vt:lpstr>
      <vt:lpstr>'Sinv-1017-003'!Print_Titles</vt:lpstr>
      <vt:lpstr>'Sinv-1017-004'!Print_Titles</vt:lpstr>
      <vt:lpstr>'Sinv-1017-005'!Print_Titles</vt:lpstr>
      <vt:lpstr>'Sinv-1017-006'!Print_Titles</vt:lpstr>
      <vt:lpstr>'Sinv-1018-01'!Print_Titles</vt:lpstr>
      <vt:lpstr>'Sinv-1018-02'!Print_Titles</vt:lpstr>
      <vt:lpstr>'Sinv-1018-03'!Print_Titles</vt:lpstr>
      <vt:lpstr>'Sinv-1018-04'!Print_Titles</vt:lpstr>
      <vt:lpstr>'Sinv-1018-05'!Print_Titles</vt:lpstr>
      <vt:lpstr>'Sinv-1018-06'!Print_Titles</vt:lpstr>
      <vt:lpstr>'Sinv-1018-07'!Print_Titles</vt:lpstr>
      <vt:lpstr>'Sinv-1018-08'!Print_Titles</vt:lpstr>
      <vt:lpstr>'Sinv-1018-09'!Print_Titles</vt:lpstr>
      <vt:lpstr>'Sinv-1019-01'!Print_Titles</vt:lpstr>
      <vt:lpstr>'Sinv-1019-02'!Print_Titles</vt:lpstr>
      <vt:lpstr>'Sinv-1019-03'!Print_Titles</vt:lpstr>
      <vt:lpstr>'Sinv-1019-04'!Print_Titles</vt:lpstr>
      <vt:lpstr>'Sinv-1019-05'!Print_Titles</vt:lpstr>
      <vt:lpstr>'Sinv-1019-06'!Print_Titles</vt:lpstr>
      <vt:lpstr>'Sinv-1019-07'!Print_Titles</vt:lpstr>
      <vt:lpstr>'Sinv-1019-08'!Print_Titles</vt:lpstr>
      <vt:lpstr>'Sinv-1019-09'!Print_Titles</vt:lpstr>
      <vt:lpstr>'Sinv-1019-10'!Print_Titles</vt:lpstr>
      <vt:lpstr>'Sinv-1019-11'!Print_Titles</vt:lpstr>
      <vt:lpstr>'Sinv-1019-12'!Print_Titles</vt:lpstr>
      <vt:lpstr>'Sinv-1019-13'!Print_Titles</vt:lpstr>
      <vt:lpstr>'Sinv-1019-14'!Print_Titles</vt:lpstr>
      <vt:lpstr>'Sinv-1019-15'!Print_Titles</vt:lpstr>
      <vt:lpstr>'Sinv-1019-16'!Print_Titles</vt:lpstr>
      <vt:lpstr>'Sinv-1019-17'!Print_Titles</vt:lpstr>
      <vt:lpstr>'Sinv-1019-18'!Print_Titles</vt:lpstr>
      <vt:lpstr>'Sinv-1019-19'!Print_Titles</vt:lpstr>
      <vt:lpstr>'Sinv-1019-20'!Print_Titles</vt:lpstr>
      <vt:lpstr>'Sinv-1019-21'!Print_Titles</vt:lpstr>
      <vt:lpstr>'Sinv-1019-22'!Print_Titles</vt:lpstr>
      <vt:lpstr>'Sinv-1019-23'!Print_Titles</vt:lpstr>
      <vt:lpstr>'Sinv-1019-24'!Print_Titles</vt:lpstr>
      <vt:lpstr>'Sinv-1019-25'!Print_Titles</vt:lpstr>
      <vt:lpstr>'Sinv-1019-26'!Print_Titles</vt:lpstr>
      <vt:lpstr>'Sinv-1019-27'!Print_Titles</vt:lpstr>
      <vt:lpstr>'Sinv-1019-28'!Print_Titles</vt:lpstr>
      <vt:lpstr>'Sinv-1019-29'!Print_Titles</vt:lpstr>
      <vt:lpstr>'Sinv-1019-30'!Print_Titles</vt:lpstr>
      <vt:lpstr>'Sinv-1019-31'!Print_Titles</vt:lpstr>
      <vt:lpstr>'Sinv-1019-32'!Print_Titles</vt:lpstr>
      <vt:lpstr>'Sinv-1117-001'!Print_Titles</vt:lpstr>
      <vt:lpstr>'Sinv-1117-002'!Print_Titles</vt:lpstr>
      <vt:lpstr>'Sinv-1117-003'!Print_Titles</vt:lpstr>
      <vt:lpstr>'Sinv-1117-004'!Print_Titles</vt:lpstr>
      <vt:lpstr>'Sinv-1118-01'!Print_Titles</vt:lpstr>
      <vt:lpstr>'Sinv-1118-02'!Print_Titles</vt:lpstr>
      <vt:lpstr>'Sinv-1118-03'!Print_Titles</vt:lpstr>
      <vt:lpstr>'Sinv-1118-04'!Print_Titles</vt:lpstr>
      <vt:lpstr>'Sinv-1118-05'!Print_Titles</vt:lpstr>
      <vt:lpstr>'Sinv-1118-06'!Print_Titles</vt:lpstr>
      <vt:lpstr>'Sinv-1119-01'!Print_Titles</vt:lpstr>
      <vt:lpstr>'Sinv-1119-02'!Print_Titles</vt:lpstr>
      <vt:lpstr>'Sinv-1119-03'!Print_Titles</vt:lpstr>
      <vt:lpstr>'Sinv-1119-04'!Print_Titles</vt:lpstr>
      <vt:lpstr>'Sinv-1119-05'!Print_Titles</vt:lpstr>
      <vt:lpstr>'Sinv-1119-06'!Print_Titles</vt:lpstr>
      <vt:lpstr>'Sinv-1119-07'!Print_Titles</vt:lpstr>
      <vt:lpstr>'Sinv-1119-08'!Print_Titles</vt:lpstr>
      <vt:lpstr>'Sinv-1119-09'!Print_Titles</vt:lpstr>
      <vt:lpstr>'Sinv-1119-10'!Print_Titles</vt:lpstr>
      <vt:lpstr>'Sinv-1119-11'!Print_Titles</vt:lpstr>
      <vt:lpstr>'Sinv-1119-12'!Print_Titles</vt:lpstr>
      <vt:lpstr>'Sinv-1119-13'!Print_Titles</vt:lpstr>
      <vt:lpstr>'Sinv-1119-14'!Print_Titles</vt:lpstr>
      <vt:lpstr>'Sinv-1119-15'!Print_Titles</vt:lpstr>
      <vt:lpstr>'Sinv-1119-16'!Print_Titles</vt:lpstr>
      <vt:lpstr>'Sinv-1119-17'!Print_Titles</vt:lpstr>
      <vt:lpstr>'Sinv-1119-18'!Print_Titles</vt:lpstr>
      <vt:lpstr>'Sinv-1119-19'!Print_Titles</vt:lpstr>
      <vt:lpstr>'Sinv-1119-20'!Print_Titles</vt:lpstr>
      <vt:lpstr>'Sinv-1119-21'!Print_Titles</vt:lpstr>
      <vt:lpstr>'Sinv-1119-22'!Print_Titles</vt:lpstr>
      <vt:lpstr>'Sinv-1119-23'!Print_Titles</vt:lpstr>
      <vt:lpstr>'Sinv-1119-24'!Print_Titles</vt:lpstr>
      <vt:lpstr>'Sinv-1119-25'!Print_Titles</vt:lpstr>
      <vt:lpstr>'Sinv-1119-26'!Print_Titles</vt:lpstr>
      <vt:lpstr>'Sinv-1217-001'!Print_Titles</vt:lpstr>
      <vt:lpstr>'Sinv-1217-002'!Print_Titles</vt:lpstr>
      <vt:lpstr>'Sinv-1217-003'!Print_Titles</vt:lpstr>
      <vt:lpstr>'Sinv-1218-01'!Print_Titles</vt:lpstr>
      <vt:lpstr>'Sinv-1218-02'!Print_Titles</vt:lpstr>
      <vt:lpstr>'Sinv-1218-03'!Print_Titles</vt:lpstr>
      <vt:lpstr>'Sinv-1219-01'!Print_Titles</vt:lpstr>
      <vt:lpstr>'Sinv-1219-02'!Print_Titles</vt:lpstr>
      <vt:lpstr>'Sinv-1219-03'!Print_Titles</vt:lpstr>
      <vt:lpstr>'Sinv-1219-04'!Print_Titles</vt:lpstr>
      <vt:lpstr>'Sinv-1219-05'!Print_Titles</vt:lpstr>
      <vt:lpstr>'Sinv-1219-06'!Print_Titles</vt:lpstr>
      <vt:lpstr>'Sinv-1219-07'!Print_Titles</vt:lpstr>
      <vt:lpstr>'Sinv-1219-08'!Print_Titles</vt:lpstr>
      <vt:lpstr>'Sinv-1219-09'!Print_Titles</vt:lpstr>
      <vt:lpstr>'Sinv-1219-10'!Print_Titles</vt:lpstr>
      <vt:lpstr>'Sinv-1219-11'!Print_Titles</vt:lpstr>
      <vt:lpstr>'Sinv-1219-12'!Print_Titles</vt:lpstr>
      <vt:lpstr>'Sinv-1219-13'!Print_Titles</vt:lpstr>
      <vt:lpstr>'Sinv-1219-14'!Print_Titles</vt:lpstr>
      <vt:lpstr>'Sinv-1219-15'!Print_Titles</vt:lpstr>
      <vt:lpstr>'Sinv-1219-16'!Print_Titles</vt:lpstr>
      <vt:lpstr>'Sinv-1219-17'!Print_Titles</vt:lpstr>
      <vt:lpstr>'Sinv-1219-18'!Print_Titles</vt:lpstr>
      <vt:lpstr>'Sinv-1219-19'!Print_Titles</vt:lpstr>
      <vt:lpstr>'Sinv-1219-20'!Print_Titles</vt:lpstr>
      <vt:lpstr>'Sinv-1219-21'!Print_Titles</vt:lpstr>
      <vt:lpstr>'Sinv-1219-22'!Print_Titles</vt:lpstr>
      <vt:lpstr>'Sinv-1219-23'!Print_Titles</vt:lpstr>
      <vt:lpstr>'Sinv-1219-24'!Print_Titles</vt:lpstr>
      <vt:lpstr>'Sinv-1219-25'!Print_Titles</vt:lpstr>
      <vt:lpstr>'Sinv-1219-27'!Print_Titles</vt:lpstr>
      <vt:lpstr>'Sinv-1219-28'!Print_Titles</vt:lpstr>
      <vt:lpstr>'Sinv-1219-29'!Print_Titles</vt:lpstr>
      <vt:lpstr>'Sinv-1219-30'!Print_Titles</vt:lpstr>
      <vt:lpstr>'Sinv-1219-31'!Print_Titles</vt:lpstr>
      <vt:lpstr>'Sinv-1219-32'!Print_Titles</vt:lpstr>
      <vt:lpstr>'Sinv-1219-33'!Print_Titles</vt:lpstr>
      <vt:lpstr>'Sinv-1219-34'!Print_Titles</vt:lpstr>
      <vt:lpstr>'Sinv-1219-35'!Print_Titles</vt:lpstr>
      <vt:lpstr>'Sinv-1219-36'!Print_Titles</vt:lpstr>
      <vt:lpstr>'Sinv-1219-37'!Print_Titles</vt:lpstr>
      <vt:lpstr>'Sinv-1219-38'!Print_Titles</vt:lpstr>
      <vt:lpstr>'Sinv-1219-39'!Print_Titles</vt:lpstr>
      <vt:lpstr>'Sinv-1219-40'!Print_Titles</vt:lpstr>
      <vt:lpstr>'Sinv-1219-41'!Print_Titles</vt:lpstr>
      <vt:lpstr>'Sinv-1219-42'!Print_Titles</vt:lpstr>
      <vt:lpstr>'Sinv-1219-42 (4)'!Print_Titles</vt:lpstr>
      <vt:lpstr>'Sinv-1219-43'!Print_Titles</vt:lpstr>
      <vt:lpstr>'Sinv-1219-44'!Print_Titles</vt:lpstr>
      <vt:lpstr>'Sinv-1219-44 (2)'!Print_Titles</vt:lpstr>
      <vt:lpstr>'Sinv-1219-45'!Print_Titles</vt:lpstr>
      <vt:lpstr>'Sinv-1219-46'!Print_Titles</vt:lpstr>
      <vt:lpstr>'Sinv-1219-47'!Print_Titles</vt:lpstr>
      <vt:lpstr>'Sinv-1219-48'!Print_Titles</vt:lpstr>
      <vt:lpstr>'Sinv-1219-49'!Print_Titles</vt:lpstr>
      <vt:lpstr>'TCSAS-0123-01'!Print_Titles</vt:lpstr>
      <vt:lpstr>'TCSAS-0123-01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</dc:creator>
  <cp:lastModifiedBy>Kashif</cp:lastModifiedBy>
  <cp:lastPrinted>2023-01-24T05:54:03Z</cp:lastPrinted>
  <dcterms:created xsi:type="dcterms:W3CDTF">2017-01-02T08:10:57Z</dcterms:created>
  <dcterms:modified xsi:type="dcterms:W3CDTF">2023-01-24T23:08:05Z</dcterms:modified>
</cp:coreProperties>
</file>